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esktop\전자결재 업로드양식\"/>
    </mc:Choice>
  </mc:AlternateContent>
  <x:bookViews>
    <x:workbookView xWindow="0" yWindow="0" windowWidth="28545" windowHeight="11820" firstSheet="70" activeTab="74"/>
  </x:bookViews>
  <x:sheets>
    <x:sheet name="18년07월" sheetId="1" r:id="rId4"/>
    <x:sheet name="18년08월" sheetId="2" r:id="rId5"/>
    <x:sheet name="18년09월" sheetId="3" r:id="rId6"/>
    <x:sheet name="18년10월" sheetId="4" r:id="rId7"/>
    <x:sheet name="18년11월" sheetId="5" r:id="rId8"/>
    <x:sheet name="18년12월" sheetId="6" r:id="rId9"/>
    <x:sheet name="19년01월" sheetId="7" r:id="rId10"/>
    <x:sheet name="19년02월" sheetId="8" r:id="rId11"/>
    <x:sheet name="19년03월" sheetId="9" r:id="rId12"/>
    <x:sheet name="19년04월" sheetId="10" r:id="rId13"/>
    <x:sheet name="19년05월" sheetId="11" r:id="rId14"/>
    <x:sheet name="19년06월" sheetId="12" r:id="rId15"/>
    <x:sheet name="19년08월(집계표)" sheetId="13" r:id="rId16"/>
    <x:sheet name="19년08월(세부내역)" sheetId="14" r:id="rId17"/>
    <x:sheet name="19년09월(집계표)" sheetId="15" r:id="rId18"/>
    <x:sheet name="19년09월(세부내역)" sheetId="16" r:id="rId19"/>
    <x:sheet name="19년10월(집계표)" sheetId="17" r:id="rId20"/>
    <x:sheet name="19년10월(세부내역)" sheetId="18" r:id="rId21"/>
    <x:sheet name="19년11월(집계표)" sheetId="19" r:id="rId22"/>
    <x:sheet name="19년11월(세부내역)" sheetId="20" r:id="rId23"/>
    <x:sheet name="19년12월(집계표)" sheetId="21" r:id="rId24"/>
    <x:sheet name="19년12월(세부내역)" sheetId="22" r:id="rId25"/>
    <x:sheet name="20년01월(집계표)" sheetId="23" r:id="rId26"/>
    <x:sheet name="20년01월(세부내역)" sheetId="24" r:id="rId27"/>
    <x:sheet name="20년02월(집계표)" sheetId="25" r:id="rId28"/>
    <x:sheet name="20년02월(세부내역)" sheetId="26" r:id="rId29"/>
    <x:sheet name="20년03월(집계표)" sheetId="27" r:id="rId30"/>
    <x:sheet name="20년03월(세부내역)" sheetId="28" r:id="rId31"/>
    <x:sheet name="20년04월(집계표)" sheetId="29" r:id="rId32"/>
    <x:sheet name="20년04월(세부내역)" sheetId="30" r:id="rId33"/>
    <x:sheet name="20년05월(집계표)" sheetId="31" r:id="rId34"/>
    <x:sheet name="20년05월(세부내역)" sheetId="32" r:id="rId35"/>
    <x:sheet name="20년06월(집계표)" sheetId="33" r:id="rId36"/>
    <x:sheet name="20년06월(세부내역)" sheetId="34" r:id="rId37"/>
    <x:sheet name="20년07월(집계표)" sheetId="35" r:id="rId38"/>
    <x:sheet name="20년07월(세부내역)" sheetId="36" r:id="rId39"/>
    <x:sheet name="20년08월(집계표)" sheetId="37" r:id="rId40"/>
    <x:sheet name="20년08월(세부내역)" sheetId="38" r:id="rId41"/>
    <x:sheet name="20년09월(집계표)" sheetId="39" r:id="rId42"/>
    <x:sheet name="20년09월(세부내역)" sheetId="40" r:id="rId43"/>
    <x:sheet name="20년10월(집계표)" sheetId="41" r:id="rId44"/>
    <x:sheet name="20년10월(세부내역)" sheetId="42" r:id="rId45"/>
    <x:sheet name="20년11월(집계표)" sheetId="43" r:id="rId46"/>
    <x:sheet name="20년11월(세부내역)" sheetId="44" r:id="rId47"/>
    <x:sheet name="20년12월(집계표)" sheetId="45" r:id="rId48"/>
    <x:sheet name="20년12월(세부내역)" sheetId="46" r:id="rId49"/>
    <x:sheet name="21년01월(집계표)" sheetId="47" r:id="rId50"/>
    <x:sheet name="21년01월(세부내역)" sheetId="48" r:id="rId51"/>
    <x:sheet name="21년02월(집계표)" sheetId="49" r:id="rId52"/>
    <x:sheet name="21년02월(세부내역)" sheetId="50" r:id="rId53"/>
    <x:sheet name="21년03월(집계표)" sheetId="51" r:id="rId54"/>
    <x:sheet name="21년03월(세부내역)" sheetId="52" r:id="rId55"/>
    <x:sheet name="21년04월(집계표)" sheetId="53" r:id="rId56"/>
    <x:sheet name="21년04월(세부내역)" sheetId="54" r:id="rId57"/>
    <x:sheet name="21년05월(집계표)" sheetId="55" r:id="rId58"/>
    <x:sheet name="21년05월(세부내역)" sheetId="56" r:id="rId59"/>
    <x:sheet name="21년06월(집계표)" sheetId="57" r:id="rId60"/>
    <x:sheet name="21년06월(세부내역)" sheetId="58" r:id="rId61"/>
    <x:sheet name="21년07월(집계표)" sheetId="59" r:id="rId62"/>
    <x:sheet name="21년07월(세부내역)" sheetId="60" r:id="rId63"/>
    <x:sheet name="21년08월(집계표)" sheetId="61" r:id="rId64"/>
    <x:sheet name="21년08월(세부내역)" sheetId="62" r:id="rId65"/>
    <x:sheet name="21년09월(집계표)" sheetId="63" r:id="rId66"/>
    <x:sheet name="21년09월(세부내역)" sheetId="64" r:id="rId67"/>
    <x:sheet name="21년10월(집계표)" sheetId="65" r:id="rId68"/>
    <x:sheet name="21년10월(세부내역)" sheetId="66" r:id="rId69"/>
    <x:sheet name="21년11월(집계표)" sheetId="67" r:id="rId70"/>
    <x:sheet name="21년11월(세부내역)" sheetId="68" r:id="rId71"/>
    <x:sheet name="21년11월(집계표-실)" sheetId="69" r:id="rId72"/>
    <x:sheet name="21년11월(세부내역-실)" sheetId="70" r:id="rId73"/>
    <x:sheet name="21년12월(집계표-실)" sheetId="71" r:id="rId74"/>
    <x:sheet name="21년12월(세부내역-실)" sheetId="72" r:id="rId75"/>
    <x:sheet name="22년01월(집계표)" sheetId="73" r:id="rId76"/>
    <x:sheet name="22년01월(세부내역)" sheetId="74" r:id="rId77"/>
    <x:sheet name="22년02월(집계표)" sheetId="75" r:id="rId78"/>
    <x:sheet name="22년02월(세부내역)" sheetId="76" r:id="rId79"/>
  </x:sheets>
  <x:definedNames>
    <x:definedName name="_xlnm.Print_Area" localSheetId="0">'18년07월'!$A$1:$N$41</x:definedName>
    <x:definedName name="_xlnm.Print_Area" localSheetId="1">'18년08월'!$A$1:$N$42</x:definedName>
    <x:definedName name="_xlnm.Print_Area" localSheetId="2">'18년09월'!$A$1:$N$42</x:definedName>
    <x:definedName name="_xlnm.Print_Area" localSheetId="3">'18년10월'!$A$1:$N$43</x:definedName>
    <x:definedName name="_xlnm.Print_Area" localSheetId="4">'18년11월'!$A$1:$N$127</x:definedName>
    <x:definedName name="_xlnm.Print_Area" localSheetId="5">'18년12월'!$A$1:$N$127</x:definedName>
    <x:definedName name="_xlnm.Print_Area" localSheetId="6">'19년01월'!$A$1:$N$127</x:definedName>
    <x:definedName name="_xlnm.Print_Area" localSheetId="7">'19년02월'!$A$1:$N$120</x:definedName>
    <x:definedName name="_xlnm.Print_Area" localSheetId="8">'19년03월'!$A$1:$N$120</x:definedName>
    <x:definedName name="_xlnm.Print_Area" localSheetId="9">'19년04월'!$A$1:$N$122</x:definedName>
    <x:definedName name="_xlnm.Print_Area" localSheetId="10">'19년05월'!$A$1:$N$122</x:definedName>
    <x:definedName name="_xlnm.Print_Area" localSheetId="11">'19년06월'!$A$1:$N$122</x:definedName>
    <x:definedName name="_xlnm.Print_Area" localSheetId="12">'19년08월(집계표)'!$A$1:$K$11</x:definedName>
    <x:definedName name="_xlnm.Print_Area" localSheetId="13">'19년08월(세부내역)'!$A$1:$N$124</x:definedName>
    <x:definedName name="_xlnm.Print_Area" localSheetId="14">'19년09월(집계표)'!$A$1:$K$11</x:definedName>
    <x:definedName name="_xlnm.Print_Area" localSheetId="15">'19년09월(세부내역)'!$A$1:$N$124</x:definedName>
    <x:definedName name="_xlnm.Print_Area" localSheetId="16">'19년10월(집계표)'!$A$1:$K$11</x:definedName>
    <x:definedName name="_xlnm.Print_Area" localSheetId="17">'19년10월(세부내역)'!$A$1:$N$124</x:definedName>
    <x:definedName name="_xlnm.Print_Area" localSheetId="18">'19년11월(집계표)'!$A$1:$K$12</x:definedName>
    <x:definedName name="_xlnm.Print_Area" localSheetId="19">'19년11월(세부내역)'!$A$1:$N$166</x:definedName>
    <x:definedName name="_xlnm.Print_Area" localSheetId="20">'19년12월(집계표)'!$A$1:$K$12</x:definedName>
    <x:definedName name="_xlnm.Print_Area" localSheetId="21">'19년12월(세부내역)'!$A$1:$N$166</x:definedName>
    <x:definedName name="_xlnm.Print_Area" localSheetId="22">'20년01월(집계표)'!$A$1:$K$12</x:definedName>
    <x:definedName name="_xlnm.Print_Area" localSheetId="23">'20년01월(세부내역)'!$A$1:$N$166</x:definedName>
    <x:definedName name="_xlnm.Print_Area" localSheetId="24">'20년02월(집계표)'!$A$1:$K$12</x:definedName>
    <x:definedName name="_xlnm.Print_Area" localSheetId="25">'20년02월(세부내역)'!$A$1:$N$166</x:definedName>
    <x:definedName name="_xlnm.Print_Area" localSheetId="26">'20년03월(집계표)'!$A$1:$K$11</x:definedName>
    <x:definedName name="_xlnm.Print_Area" localSheetId="27">'20년03월(세부내역)'!$A$1:$N$166</x:definedName>
    <x:definedName name="_xlnm.Print_Area" localSheetId="28">'20년04월(집계표)'!$A$1:$K$11</x:definedName>
    <x:definedName name="_xlnm.Print_Area" localSheetId="29">'20년04월(세부내역)'!$A$1:$N$166</x:definedName>
    <x:definedName name="_xlnm.Print_Area" localSheetId="30">'20년05월(집계표)'!$A$1:$K$10</x:definedName>
    <x:definedName name="_xlnm.Print_Area" localSheetId="31">'20년05월(세부내역)'!$A$1:$N$166</x:definedName>
    <x:definedName name="_xlnm.Print_Area" localSheetId="32">'20년06월(집계표)'!$A$1:$K$10</x:definedName>
    <x:definedName name="_xlnm.Print_Area" localSheetId="33">'20년06월(세부내역)'!$A$1:$N$166</x:definedName>
    <x:definedName name="_xlnm.Print_Area" localSheetId="34">'20년07월(집계표)'!$A$1:$L$10</x:definedName>
    <x:definedName name="_xlnm.Print_Area" localSheetId="35">'20년07월(세부내역)'!$A$1:$N$166</x:definedName>
    <x:definedName name="_xlnm.Print_Area" localSheetId="36">'20년08월(집계표)'!$A$1:$L$10</x:definedName>
    <x:definedName name="_xlnm.Print_Area" localSheetId="37">'20년08월(세부내역)'!$A$1:$N$166</x:definedName>
    <x:definedName name="_xlnm.Print_Area" localSheetId="38">'20년09월(집계표)'!$A$1:$L$10</x:definedName>
    <x:definedName name="_xlnm.Print_Area" localSheetId="39">'20년09월(세부내역)'!$A$1:$N$166</x:definedName>
    <x:definedName name="_xlnm.Print_Area" localSheetId="40">'20년10월(집계표)'!$A$1:$L$10</x:definedName>
    <x:definedName name="_xlnm.Print_Area" localSheetId="41">'20년10월(세부내역)'!$A$1:$N$166</x:definedName>
    <x:definedName name="_xlnm.Print_Area" localSheetId="42">'20년11월(집계표)'!$A$1:$L$11</x:definedName>
    <x:definedName name="_xlnm.Print_Area" localSheetId="43">'20년11월(세부내역)'!$A$1:$N$166</x:definedName>
    <x:definedName name="_xlnm.Print_Area" localSheetId="44">'20년12월(집계표)'!$A$1:$L$12</x:definedName>
    <x:definedName name="_xlnm.Print_Area" localSheetId="45">'20년12월(세부내역)'!$A$1:$N$166</x:definedName>
    <x:definedName name="_xlnm.Print_Area" localSheetId="46">'21년01월(집계표)'!$A$1:$L$11</x:definedName>
    <x:definedName name="_xlnm.Print_Area" localSheetId="47">'21년01월(세부내역)'!$A$1:$N$169</x:definedName>
    <x:definedName name="_xlnm.Print_Area" localSheetId="48">'21년02월(집계표)'!$A$1:$L$11</x:definedName>
    <x:definedName name="_xlnm.Print_Area" localSheetId="49">'21년02월(세부내역)'!$A$1:$N$169</x:definedName>
    <x:definedName name="_xlnm.Print_Area" localSheetId="50">'21년03월(집계표)'!$A$1:$L$12</x:definedName>
    <x:definedName name="_xlnm.Print_Area" localSheetId="51">'21년03월(세부내역)'!$A$1:$N$169</x:definedName>
    <x:definedName name="_xlnm.Print_Area" localSheetId="52">'21년04월(집계표)'!$A$1:$L$13</x:definedName>
    <x:definedName name="_xlnm.Print_Area" localSheetId="53">'21년04월(세부내역)'!$A$1:$N$169</x:definedName>
    <x:definedName name="_xlnm.Print_Area" localSheetId="54">'21년05월(집계표)'!$A$1:$L$13</x:definedName>
    <x:definedName name="_xlnm.Print_Area" localSheetId="55">'21년05월(세부내역)'!$A$1:$N$171</x:definedName>
    <x:definedName name="_xlnm.Print_Area" localSheetId="56">'21년06월(집계표)'!$A$1:$L$13</x:definedName>
    <x:definedName name="_xlnm.Print_Area" localSheetId="57">'21년06월(세부내역)'!$A$1:$N$172</x:definedName>
    <x:definedName name="_xlnm.Print_Area" localSheetId="58">'21년07월(집계표)'!$A$1:$L$13</x:definedName>
    <x:definedName name="_xlnm.Print_Area" localSheetId="59">'21년07월(세부내역)'!$A$1:$N$172</x:definedName>
    <x:definedName name="_xlnm.Print_Area" localSheetId="60">'21년08월(집계표)'!$A$1:$L$13</x:definedName>
    <x:definedName name="_xlnm.Print_Area" localSheetId="61">'21년08월(세부내역)'!$A$1:$N$175</x:definedName>
    <x:definedName name="_xlnm.Print_Area" localSheetId="62">'21년09월(집계표)'!$A$1:$L$15</x:definedName>
    <x:definedName name="_xlnm.Print_Area" localSheetId="63">'21년09월(세부내역)'!$A$1:$N$218</x:definedName>
    <x:definedName name="_xlnm.Print_Area" localSheetId="64">'21년10월(집계표)'!$A$1:$L$15</x:definedName>
    <x:definedName name="_xlnm.Print_Area" localSheetId="65">'21년10월(세부내역)'!$A$1:$N$225</x:definedName>
    <x:definedName name="_xlnm.Print_Area" localSheetId="66">'21년11월(집계표)'!$A$1:$L$15</x:definedName>
    <x:definedName name="_xlnm.Print_Area" localSheetId="67">'21년11월(세부내역)'!$A$1:$N$225</x:definedName>
    <x:definedName name="_xlnm.Print_Area" localSheetId="68">'21년11월(집계표-실)'!$A$1:$L$15</x:definedName>
    <x:definedName name="_xlnm.Print_Area" localSheetId="69">'21년11월(세부내역-실)'!$A$1:$N$226</x:definedName>
    <x:definedName name="_xlnm.Print_Area" localSheetId="70">'21년12월(집계표-실)'!$A$1:$L$14</x:definedName>
    <x:definedName name="_xlnm.Print_Area" localSheetId="71">'21년12월(세부내역-실)'!$A$1:$N$226</x:definedName>
    <x:definedName name="_xlnm.Print_Area" localSheetId="72">'22년01월(집계표)'!$A$1:$L$13</x:definedName>
    <x:definedName name="_xlnm.Print_Area" localSheetId="73">'22년01월(세부내역)'!$A$1:$N$181</x:definedName>
    <x:definedName name="_xlnm.Print_Area" localSheetId="74">'22년02월(집계표)'!$A$1:$L$13</x:definedName>
    <x:definedName name="_xlnm.Print_Area" localSheetId="75">'22년02월(세부내역)'!$A$1:$N$182</x:definedName>
    <x:definedName name="_xlnm.Print_Titles" localSheetId="4">'18년11월'!$1:$1</x:definedName>
    <x:definedName name="_xlnm.Print_Titles" localSheetId="5">'18년12월'!$1:$1</x:definedName>
    <x:definedName name="_xlnm.Print_Titles" localSheetId="6">'19년01월'!$1:$1</x:definedName>
    <x:definedName name="_xlnm.Print_Titles" localSheetId="7">'19년02월'!$1:$1</x:definedName>
    <x:definedName name="_xlnm.Print_Titles" localSheetId="8">'19년03월'!$1:$1</x:definedName>
    <x:definedName name="_xlnm.Print_Titles" localSheetId="9">'19년04월'!$1:$1</x:definedName>
    <x:definedName name="_xlnm.Print_Titles" localSheetId="10">'19년05월'!$1:$1</x:definedName>
    <x:definedName name="_xlnm.Print_Titles" localSheetId="11">'19년06월'!$1:$1</x:definedName>
    <x:definedName name="_xlnm.Print_Titles" localSheetId="12">'19년08월(집계표)'!$1:$1</x:definedName>
    <x:definedName name="_xlnm.Print_Titles" localSheetId="13">'19년08월(세부내역)'!$1:$1</x:definedName>
    <x:definedName name="_xlnm.Print_Titles" localSheetId="14">'19년09월(집계표)'!$1:$1</x:definedName>
    <x:definedName name="_xlnm.Print_Titles" localSheetId="15">'19년09월(세부내역)'!$1:$1</x:definedName>
    <x:definedName name="_xlnm.Print_Titles" localSheetId="16">'19년10월(집계표)'!$1:$1</x:definedName>
    <x:definedName name="_xlnm.Print_Titles" localSheetId="17">'19년10월(세부내역)'!$1:$1</x:definedName>
    <x:definedName name="_xlnm.Print_Titles" localSheetId="18">'19년11월(집계표)'!$1:$1</x:definedName>
    <x:definedName name="_xlnm.Print_Titles" localSheetId="19">'19년11월(세부내역)'!$1:$1</x:definedName>
    <x:definedName name="_xlnm.Print_Titles" localSheetId="20">'19년12월(집계표)'!$1:$1</x:definedName>
    <x:definedName name="_xlnm.Print_Titles" localSheetId="21">'19년12월(세부내역)'!$1:$1</x:definedName>
    <x:definedName name="_xlnm.Print_Titles" localSheetId="22">'20년01월(집계표)'!$1:$1</x:definedName>
    <x:definedName name="_xlnm.Print_Titles" localSheetId="23">'20년01월(세부내역)'!$1:$1</x:definedName>
    <x:definedName name="_xlnm.Print_Titles" localSheetId="24">'20년02월(집계표)'!$1:$1</x:definedName>
    <x:definedName name="_xlnm.Print_Titles" localSheetId="25">'20년02월(세부내역)'!$1:$1</x:definedName>
    <x:definedName name="_xlnm.Print_Titles" localSheetId="26">'20년03월(집계표)'!$1:$1</x:definedName>
    <x:definedName name="_xlnm.Print_Titles" localSheetId="27">'20년03월(세부내역)'!$1:$1</x:definedName>
    <x:definedName name="_xlnm.Print_Titles" localSheetId="28">'20년04월(집계표)'!$1:$1</x:definedName>
    <x:definedName name="_xlnm.Print_Titles" localSheetId="29">'20년04월(세부내역)'!$1:$1</x:definedName>
    <x:definedName name="_xlnm.Print_Titles" localSheetId="30">'20년05월(집계표)'!$1:$1</x:definedName>
    <x:definedName name="_xlnm.Print_Titles" localSheetId="31">'20년05월(세부내역)'!$1:$1</x:definedName>
    <x:definedName name="_xlnm.Print_Titles" localSheetId="32">'20년06월(집계표)'!$1:$1</x:definedName>
    <x:definedName name="_xlnm.Print_Titles" localSheetId="33">'20년06월(세부내역)'!$1:$1</x:definedName>
    <x:definedName name="_xlnm.Print_Titles" localSheetId="34">'20년07월(집계표)'!$1:$1</x:definedName>
    <x:definedName name="_xlnm.Print_Titles" localSheetId="35">'20년07월(세부내역)'!$1:$1</x:definedName>
    <x:definedName name="_xlnm.Print_Titles" localSheetId="36">'20년08월(집계표)'!$1:$1</x:definedName>
    <x:definedName name="_xlnm.Print_Titles" localSheetId="37">'20년08월(세부내역)'!$1:$1</x:definedName>
    <x:definedName name="_xlnm.Print_Titles" localSheetId="38">'20년09월(집계표)'!$1:$1</x:definedName>
    <x:definedName name="_xlnm.Print_Titles" localSheetId="39">'20년09월(세부내역)'!$1:$1</x:definedName>
    <x:definedName name="_xlnm.Print_Titles" localSheetId="40">'20년10월(집계표)'!$1:$1</x:definedName>
    <x:definedName name="_xlnm.Print_Titles" localSheetId="41">'20년10월(세부내역)'!$1:$1</x:definedName>
    <x:definedName name="_xlnm.Print_Titles" localSheetId="42">'20년11월(집계표)'!$1:$1</x:definedName>
    <x:definedName name="_xlnm.Print_Titles" localSheetId="43">'20년11월(세부내역)'!$1:$1</x:definedName>
    <x:definedName name="_xlnm.Print_Titles" localSheetId="44">'20년12월(집계표)'!$1:$1</x:definedName>
    <x:definedName name="_xlnm.Print_Titles" localSheetId="45">'20년12월(세부내역)'!$1:$1</x:definedName>
    <x:definedName name="_xlnm.Print_Titles" localSheetId="46">'21년01월(집계표)'!$1:$1</x:definedName>
    <x:definedName name="_xlnm.Print_Titles" localSheetId="47">'21년01월(세부내역)'!$1:$1</x:definedName>
    <x:definedName name="_xlnm.Print_Titles" localSheetId="48">'21년02월(집계표)'!$1:$1</x:definedName>
    <x:definedName name="_xlnm.Print_Titles" localSheetId="49">'21년02월(세부내역)'!$1:$1</x:definedName>
    <x:definedName name="_xlnm.Print_Titles" localSheetId="50">'21년03월(집계표)'!$1:$1</x:definedName>
    <x:definedName name="_xlnm.Print_Titles" localSheetId="51">'21년03월(세부내역)'!$1:$1</x:definedName>
    <x:definedName name="_xlnm.Print_Titles" localSheetId="52">'21년04월(집계표)'!$1:$1</x:definedName>
    <x:definedName name="_xlnm.Print_Titles" localSheetId="53">'21년04월(세부내역)'!$1:$1</x:definedName>
    <x:definedName name="_xlnm.Print_Titles" localSheetId="54">'21년05월(집계표)'!$1:$1</x:definedName>
    <x:definedName name="_xlnm.Print_Titles" localSheetId="55">'21년05월(세부내역)'!$1:$1</x:definedName>
    <x:definedName name="_xlnm.Print_Titles" localSheetId="56">'21년06월(집계표)'!$1:$1</x:definedName>
    <x:definedName name="_xlnm.Print_Titles" localSheetId="57">'21년06월(세부내역)'!$1:$1</x:definedName>
    <x:definedName name="_xlnm.Print_Titles" localSheetId="58">'21년07월(집계표)'!$1:$1</x:definedName>
    <x:definedName name="_xlnm.Print_Titles" localSheetId="59">'21년07월(세부내역)'!$1:$1</x:definedName>
    <x:definedName name="_xlnm.Print_Titles" localSheetId="60">'21년08월(집계표)'!$1:$1</x:definedName>
    <x:definedName name="_xlnm.Print_Titles" localSheetId="61">'21년08월(세부내역)'!$1:$1</x:definedName>
    <x:definedName name="_xlnm.Print_Titles" localSheetId="62">'21년09월(집계표)'!$1:$1</x:definedName>
    <x:definedName name="_xlnm.Print_Titles" localSheetId="63">'21년09월(세부내역)'!$1:$1</x:definedName>
    <x:definedName name="_xlnm.Print_Titles" localSheetId="64">'21년10월(집계표)'!$1:$1</x:definedName>
    <x:definedName name="_xlnm.Print_Titles" localSheetId="65">'21년10월(세부내역)'!$1:$1</x:definedName>
    <x:definedName name="_xlnm.Print_Titles" localSheetId="66">'21년11월(집계표)'!$1:$1</x:definedName>
    <x:definedName name="_xlnm.Print_Titles" localSheetId="67">'21년11월(세부내역)'!$1:$1</x:definedName>
    <x:definedName name="_xlnm.Print_Titles" localSheetId="68">'21년11월(집계표-실)'!$1:$1</x:definedName>
    <x:definedName name="_xlnm.Print_Titles" localSheetId="69">'21년11월(세부내역-실)'!$1:$1</x:definedName>
    <x:definedName name="_xlnm.Print_Titles" localSheetId="70">'21년12월(집계표-실)'!$1:$1</x:definedName>
    <x:definedName name="_xlnm.Print_Titles" localSheetId="71">'21년12월(세부내역-실)'!$1:$1</x:definedName>
    <x:definedName name="_xlnm.Print_Titles" localSheetId="72">'22년01월(집계표)'!$1:$1</x:definedName>
    <x:definedName name="_xlnm.Print_Titles" localSheetId="73">'22년01월(세부내역)'!$1:$1</x:definedName>
    <x:definedName name="_xlnm.Print_Titles" localSheetId="74">'22년02월(집계표)'!$1:$1</x:definedName>
    <x:definedName name="_xlnm.Print_Titles" localSheetId="75">'22년02월(세부내역)'!$1:$1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D12:D12" authorId="0">
      <x:text>
        <x:r>
          <x:rPr>
            <x:rFont val="Tahoma"/>
            <x:sz val="9"/>
            <x:color rgb="ff000000"/>
            <x:b val="1"/>
          </x:rPr>
          <x:t>1</x:t>
        </x:r>
        <x:r>
          <x:rPr>
            <x:rFont val="돋움"/>
            <x:sz val="9"/>
            <x:color rgb="ff000000"/>
            <x:b val="1"/>
          </x:rPr>
          <x:t>공구</x:t>
        </x:r>
        <x:r>
          <x:rPr>
            <x:rFont val="Tahoma"/>
            <x:sz val="9"/>
            <x:color rgb="ff000000"/>
            <x:b val="1"/>
          </x:rPr>
          <x:t>:344,000
2</x:t>
        </x:r>
        <x:r>
          <x:rPr>
            <x:rFont val="돋움"/>
            <x:sz val="9"/>
            <x:color rgb="ff000000"/>
            <x:b val="1"/>
          </x:rPr>
          <x:t>공구</x:t>
        </x:r>
        <x:r>
          <x:rPr>
            <x:rFont val="Tahoma"/>
            <x:sz val="9"/>
            <x:color rgb="ff000000"/>
            <x:b val="1"/>
          </x:rPr>
          <x:t>:344,000</x:t>
        </x:r>
      </x:text>
    </x:comment>
    <x:comment ref="D11:D11" authorId="0">
      <x:text>
        <x:r>
          <x:rPr>
            <x:rFont val="Tahoma"/>
            <x:sz val="9"/>
            <x:color rgb="ff000000"/>
            <x:b val="1"/>
          </x:rPr>
          <x:t>1</x:t>
        </x:r>
        <x:r>
          <x:rPr>
            <x:rFont val="돋움"/>
            <x:sz val="9"/>
            <x:color rgb="ff000000"/>
            <x:b val="1"/>
          </x:rPr>
          <x:t>공구</x:t>
        </x:r>
        <x:r>
          <x:rPr>
            <x:rFont val="Tahoma"/>
            <x:sz val="9"/>
            <x:color rgb="ff000000"/>
            <x:b val="1"/>
          </x:rPr>
          <x:t>:400,000
2</x:t>
        </x:r>
        <x:r>
          <x:rPr>
            <x:rFont val="돋움"/>
            <x:sz val="9"/>
            <x:color rgb="ff000000"/>
            <x:b val="1"/>
          </x:rPr>
          <x:t>공구</x:t>
        </x:r>
        <x:r>
          <x:rPr>
            <x:rFont val="Tahoma"/>
            <x:sz val="9"/>
            <x:color rgb="ff000000"/>
            <x:b val="1"/>
          </x:rPr>
          <x:t>:400,000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<x:sst xmlns:r="http://schemas.openxmlformats.org/officeDocument/2006/relationships" xmlns:c="http://schemas.openxmlformats.org/drawingml/2006/chart" xmlns:x="http://schemas.openxmlformats.org/spreadsheetml/2006/main" count="17035" uniqueCount="1821">
  <x:si>
    <x:t>산업안전보건교육원</x:t>
  </x:si>
  <x:si>
    <x:t>관로구방수장치외</x:t>
  </x:si>
  <x:si>
    <x:t>TPP카프링 외</x:t>
  </x:si>
  <x:si>
    <x:t>GW16 조립 외</x:t>
  </x:si>
  <x:si>
    <x:t>스위치2 스프링</x:t>
  </x:si>
  <x:si>
    <x:t>SF후렉시블 외</x:t>
  </x:si>
  <x:si>
    <x:t>등기구,배선기구외주</x:t>
  </x:si>
  <x:si>
    <x:t>램프(삼파장) 외</x:t>
  </x:si>
  <x:si>
    <x:t>스포티지 렌탈료</x:t>
  </x:si>
  <x:si>
    <x:t xml:space="preserve">SB DUCT 외 </x:t>
  </x:si>
  <x:si>
    <x:t>아테오스위치 외</x:t>
  </x:si>
  <x:si>
    <x:t xml:space="preserve"> 반코팅장갑 외 </x:t>
  </x:si>
  <x:si>
    <x:t>11월 폐기물처리비</x:t>
  </x:si>
  <x:si>
    <x:t>제일전기중부특판</x:t>
  </x:si>
  <x:si>
    <x:t>배선기구점검카바</x:t>
  </x:si>
  <x:si>
    <x:t>난연CD콘스리브</x:t>
  </x:si>
  <x:si>
    <x:t>팔각스라브테크 외</x:t>
  </x:si>
  <x:si>
    <x:t>AL-TFR-CV 외</x:t>
  </x:si>
  <x:si>
    <x:t>CABLE TIE 외</x:t>
  </x:si>
  <x:si>
    <x:t>TFR-AL-CV</x:t>
  </x:si>
  <x:si>
    <x:t>TFR-CV 외</x:t>
  </x:si>
  <x:si>
    <x:t>㈜희상케이블상사</x:t>
  </x:si>
  <x:si>
    <x:t>T.G.P PANEL</x:t>
  </x:si>
  <x:si>
    <x:t>경량보강철C 외</x:t>
  </x:si>
  <x:si>
    <x:t>ELP전선관 외</x:t>
  </x:si>
  <x:si>
    <x:t>전기테이프(흑색) 외</x:t>
  </x:si>
  <x:si>
    <x:t>보강철물(스틸) 외</x:t>
  </x:si>
  <x:si>
    <x:t>면장갑(기본) 외</x:t>
  </x:si>
  <x:si>
    <x:t>식대(조식,중식)</x:t>
  </x:si>
  <x:si>
    <x:t>스위치연결박스 외</x:t>
  </x:si>
  <x:si>
    <x:t>HFIX(흑색) 외</x:t>
  </x:si>
  <x:si>
    <x:t>접지단자함(함만)</x:t>
  </x:si>
  <x:si>
    <x:t>칼브럭(백색) 외</x:t>
  </x:si>
  <x:si>
    <x:t>TFR-GV 외</x:t>
  </x:si>
  <x:si>
    <x:t>삼청엔터프라이즈</x:t>
  </x:si>
  <x:si>
    <x:t>차액(기성-투입)</x:t>
  </x:si>
  <x:si>
    <x:t>잡자재및안전용품</x:t>
  </x:si>
  <x:si>
    <x:t>근로자 건강검진</x:t>
  </x:si>
  <x:si>
    <x:t>외주비(등기구)</x:t>
  </x:si>
  <x:si>
    <x:t>CN-CO외 케이블</x:t>
  </x:si>
  <x:si>
    <x:t>외주비(골조,입선)</x:t>
  </x:si>
  <x:si>
    <x:t>삼청엔터프파이즈</x:t>
  </x:si>
  <x:si>
    <x:t>식대(조,중식)</x:t>
  </x:si>
  <x:si>
    <x:t>허만일(용달화물)</x:t>
  </x:si>
  <x:si>
    <x:t>컨테이너2대환수</x:t>
  </x:si>
  <x:si>
    <x:t xml:space="preserve"> 보조피뢰침외 </x:t>
  </x:si>
  <x:si>
    <x:t xml:space="preserve"> SF 후렉시블외 </x:t>
  </x:si>
  <x:si>
    <x:t xml:space="preserve"> 난연CD 커플링 </x:t>
  </x:si>
  <x:si>
    <x:t xml:space="preserve"> 멀티닥트몸통 외 </x:t>
  </x:si>
  <x:si>
    <x:t xml:space="preserve"> 신축연결콘넥타 외 </x:t>
  </x:si>
  <x:si>
    <x:t>외주비(트레이)</x:t>
  </x:si>
  <x:si>
    <x:t>허만길(12일지원)</x:t>
  </x:si>
  <x:si>
    <x:t xml:space="preserve"> SF16 조립 </x:t>
  </x:si>
  <x:si>
    <x:t>405호 보증금환수</x:t>
  </x:si>
  <x:si>
    <x:t xml:space="preserve"> 스위치1로1구 외 </x:t>
  </x:si>
  <x:si>
    <x:t xml:space="preserve"> TFR-GV 외 </x:t>
  </x:si>
  <x:si>
    <x:t>전기+통신+소방</x:t>
  </x:si>
  <x:si>
    <x:t xml:space="preserve"> 안전모(마크) 외 </x:t>
  </x:si>
  <x:si>
    <x:t>용답동 청년주택</x:t>
  </x:si>
  <x:si>
    <x:t xml:space="preserve"> 경량보강철C 외 </x:t>
  </x:si>
  <x:si>
    <x:t xml:space="preserve"> TFR-GV </x:t>
  </x:si>
  <x:si>
    <x:t>대일공인중개사무소</x:t>
  </x:si>
  <x:si>
    <x:t xml:space="preserve"> SF 후렉시블 외 </x:t>
  </x:si>
  <x:si>
    <x:t>모델하우스보수공사</x:t>
  </x:si>
  <x:si>
    <x:t>스위치1 스프링 외</x:t>
  </x:si>
  <x:si>
    <x:t>수막처리동봉 외</x:t>
  </x:si>
  <x:si>
    <x:t>사무실 임대보증금</x:t>
  </x:si>
  <x:si>
    <x:t>사무실 중개수수료</x:t>
  </x:si>
  <x:si>
    <x:t xml:space="preserve"> THREADED ROD 외 </x:t>
  </x:si>
  <x:si>
    <x:t xml:space="preserve"> BONDING JUMPER 외 </x:t>
  </x:si>
  <x:si>
    <x:t>0.6/1KV TFR-GV 외</x:t>
  </x:si>
  <x:si>
    <x:t>300V/500V VCTF 외</x:t>
  </x:si>
  <x:si>
    <x:t>0.6/1KV TFR-CV-AL 외</x:t>
  </x:si>
  <x:si>
    <x:t>컨테이너임차료(7.23~10.22)</x:t>
  </x:si>
  <x:si>
    <x:t xml:space="preserve"> WIRE CONNECTOR </x:t>
  </x:si>
  <x:si>
    <x:t xml:space="preserve"> WIRE CONNECTOR 외 </x:t>
  </x:si>
  <x:si>
    <x:t>RACEWAY STRAIGHT 외</x:t>
  </x:si>
  <x:si>
    <x:t>HP END PLATE, PCE 외</x:t>
  </x:si>
  <x:si>
    <x:t>ELB일체형콘센트함(벽부형)외</x:t>
  </x:si>
  <x:si>
    <x:t>제일ELB(SG-52NEB) 외</x:t>
  </x:si>
  <x:si>
    <x:t>0.6/1KV TFR-CV-AL</x:t>
  </x:si>
  <x:si>
    <x:t>SOLID BOTTOM DUCT 외</x:t>
  </x:si>
  <x:si>
    <x:t>계약금액(\24,146,000)</x:t>
  </x:si>
  <x:si>
    <x:t>WIRE CONNECTOR 외</x:t>
  </x:si>
  <x:si>
    <x:t>선공사비(\12,355,620)포함</x:t>
  </x:si>
  <x:si>
    <x:t>매입콘센트2구45도(WH) 외</x:t>
  </x:si>
  <x:si>
    <x:t>상현동 솔하임(임시전기+접지선공사)</x:t>
  </x:si>
  <x:si>
    <x:t xml:space="preserve"> HI-TEC COVER(분체)외 </x:t>
  </x:si>
  <x:si>
    <x:t xml:space="preserve"> R/W COVER CLAMP 외 </x:t>
  </x:si>
  <x:si>
    <x:t xml:space="preserve"> 아테오스위치1로3구+3로1구 외 </x:t>
  </x:si>
  <x:si>
    <x:t>0.6//1kv TFR-CV외</x:t>
  </x:si>
  <x:si>
    <x:t>21.08.31
(21.08.31)</x:t>
  </x:si>
  <x:si>
    <x:t>RACE WAY STRAIGHT 외</x:t>
  </x:si>
  <x:si>
    <x:t>컨테이너임차료(07.25~0.24)</x:t>
  </x:si>
  <x:si>
    <x:t>22.9KV FR-CNCO-W 외</x:t>
  </x:si>
  <x:si>
    <x:t>21.09.15
(21.09.15)</x:t>
  </x:si>
  <x:si>
    <x:t>22.06.30
(22.06.30)</x:t>
  </x:si>
  <x:si>
    <x:t>20.09.30
(20.10.31)</x:t>
  </x:si>
  <x:si>
    <x:t>SOLID BOTTOM DUCT외</x:t>
  </x:si>
  <x:si>
    <x:t>HOLD DOWN CLAMP 외</x:t>
  </x:si>
  <x:si>
    <x:t>SOLID BOTOM DUCT외</x:t>
  </x:si>
  <x:si>
    <x:t>20.11.30
(21.01.31)</x:t>
  </x:si>
  <x:si>
    <x:t>압착TERMINAL(K.S) 외</x:t>
  </x:si>
  <x:si>
    <x:t>20.12.15
(21.01.31)</x:t>
  </x:si>
  <x:si>
    <x:t>22.9KV FR-CN/CO외</x:t>
  </x:si>
  <x:si>
    <x:t>숙소 보증금(2020.12.4부터)</x:t>
  </x:si>
  <x:si>
    <x:t>선급금(우본산업,대한케이블포함)</x:t>
  </x:si>
  <x:si>
    <x:t>20.12.30
(20.12.30)</x:t>
  </x:si>
  <x:si>
    <x:t>20.12.31
(20.12.31)</x:t>
  </x:si>
  <x:si>
    <x:t>21.07.31
(21.10.30)</x:t>
  </x:si>
  <x:si>
    <x:t>0.6/1KV TFR-CV 외</x:t>
  </x:si>
  <x:si>
    <x:t>20.10.30
(20.10.30)</x:t>
  </x:si>
  <x:si>
    <x:t>0.6/1KV TFR-CVV-SB외</x:t>
  </x:si>
  <x:si>
    <x:t>21.02.28
(21.03.31)</x:t>
  </x:si>
  <x:si>
    <x:t>20.11.30
(20.11.30)</x:t>
  </x:si>
  <x:si>
    <x:t>21.02.28
(21.02.28)</x:t>
  </x:si>
  <x:si>
    <x:t>21.11.30
(21.11.30)</x:t>
  </x:si>
  <x:si>
    <x:t>22.11.30
(22.11.30)</x:t>
  </x:si>
  <x:si>
    <x:t>0.6/1KV TFR-CSS-SB외</x:t>
  </x:si>
  <x:si>
    <x:t>안전조끼(TC망사/반사띠) 외</x:t>
  </x:si>
  <x:si>
    <x:t>21.06.30
(21.10.30)</x:t>
  </x:si>
  <x:si>
    <x:t>4989명품부동산공인중개사사무소</x:t>
  </x:si>
  <x:si>
    <x:t>0.6/1KV TFR-AL-CV외</x:t>
  </x:si>
  <x:si>
    <x:t>22.12.31
(22.12.31)</x:t>
  </x:si>
  <x:si>
    <x:t>LD JOINT CONNECTOR</x:t>
  </x:si>
  <x:si>
    <x:t>21.12.31
(21.12.31)</x:t>
  </x:si>
  <x:si>
    <x:t>RW A-TYPE HANGER외</x:t>
  </x:si>
  <x:si>
    <x:t>WIRE CONNECTOR 외 1건</x:t>
  </x:si>
  <x:si>
    <x:t>김대웅,이상길,서정찬(50%)</x:t>
  </x:si>
  <x:si>
    <x:t>GROUND CONNECTOR</x:t>
  </x:si>
  <x:si>
    <x:t>LD TRAY STRAIGHT외</x:t>
  </x:si>
  <x:si>
    <x:t>실납품(\46,826,450)</x:t>
  </x:si>
  <x:si>
    <x:t>21.06.
(21.08.31)</x:t>
  </x:si>
  <x:si>
    <x:t>LD RISER CONNECTOR외</x:t>
  </x:si>
  <x:si>
    <x:t>숙소 임대료(매월25일 선불)</x:t>
  </x:si>
  <x:si>
    <x:t>21.10.20
(21.10.20)</x:t>
  </x:si>
  <x:si>
    <x:t>U-BOLT CLIP 외 11건</x:t>
  </x:si>
  <x:si>
    <x:t>0.6/1KV TFR-CVV외</x:t>
  </x:si>
  <x:si>
    <x:t>21.06.05
(21.10.30)</x:t>
  </x:si>
  <x:si>
    <x:t>22.02.28
(22.02.28)</x:t>
  </x:si>
  <x:si>
    <x:t>21.08.31
(21.10.30)</x:t>
  </x:si>
  <x:si>
    <x:t>직결비스(흑,외날)#6외 5건</x:t>
  </x:si>
  <x:si>
    <x:t>LIGHTNING SUPPORT외</x:t>
  </x:si>
  <x:si>
    <x:t>0.6/1KV TFR-CV-AL외</x:t>
  </x:si>
  <x:si>
    <x:t>업체명</x:t>
  </x:si>
  <x:si>
    <x:t>공급가</x:t>
  </x:si>
  <x:si>
    <x:t>총액</x:t>
  </x:si>
  <x:si>
    <x:t>항목</x:t>
  </x:si>
  <x:si>
    <x:t>재료비</x:t>
  </x:si>
  <x:si>
    <x:t>경비</x:t>
  </x:si>
  <x:si>
    <x:t>내용</x:t>
  </x:si>
  <x:si>
    <x:t>기성</x:t>
  </x:si>
  <x:si>
    <x:t>부가세</x:t>
  </x:si>
  <x:si>
    <x:t>노무비</x:t>
  </x:si>
  <x:si>
    <x:t>비고</x:t>
  </x:si>
  <x:si>
    <x:t>소계</x:t>
  </x:si>
  <x:si>
    <x:t>전기</x:t>
  </x:si>
  <x:si>
    <x:t>굴삭기</x:t>
  </x:si>
  <x:si>
    <x:t>장기원</x:t>
  </x:si>
  <x:si>
    <x:t>김상식</x:t>
  </x:si>
  <x:si>
    <x:t>표지판</x:t>
  </x:si>
  <x:si>
    <x:t>지게차</x:t>
  </x:si>
  <x:si>
    <x:t>허권무</x:t>
  </x:si>
  <x:si>
    <x:t>5월분</x:t>
  </x:si>
  <x:si>
    <x:t>식대</x:t>
  </x:si>
  <x:si>
    <x:t>큐렉스</x:t>
  </x:si>
  <x:si>
    <x:t>상가</x:t>
  </x:si>
  <x:si>
    <x:t>생수</x:t>
  </x:si>
  <x:si>
    <x:t>트레이</x:t>
  </x:si>
  <x:si>
    <x:t>공길봉</x:t>
  </x:si>
  <x:si>
    <x:t>유도등</x:t>
  </x:si>
  <x:si>
    <x:t>UTP</x:t>
  </x:si>
  <x:si>
    <x:t>김호식</x:t>
  </x:si>
  <x:si>
    <x:t>숙소</x:t>
  </x:si>
  <x:si>
    <x:t>노경택</x:t>
  </x:si>
  <x:si>
    <x:t>동진</x:t>
  </x:si>
  <x:si>
    <x:t>크레인</x:t>
  </x:si>
  <x:si>
    <x:t>이종수</x:t>
  </x:si>
  <x:si>
    <x:t>예상</x:t>
  </x:si>
  <x:si>
    <x:t>잡자재</x:t>
  </x:si>
  <x:si>
    <x:t>케이블</x:t>
  </x:si>
  <x:si>
    <x:t>10일</x:t>
  </x:si>
  <x:si>
    <x:t>풀박스</x:t>
  </x:si>
  <x:si>
    <x:t>차단기</x:t>
  </x:si>
  <x:si>
    <x:t>노영길</x:t>
  </x:si>
  <x:si>
    <x:t>권기찬</x:t>
  </x:si>
  <x:si>
    <x:t>김은영</x:t>
  </x:si>
  <x:si>
    <x:t>장비비</x:t>
  </x:si>
  <x:si>
    <x:t>청담골</x:t>
  </x:si>
  <x:si>
    <x:t>가설재</x:t>
  </x:si>
  <x:si>
    <x:t>현장명</x:t>
  </x:si>
  <x:si>
    <x:t>안전화</x:t>
  </x:si>
  <x:si>
    <x:t>6월분</x:t>
  </x:si>
  <x:si>
    <x:t>김태영</x:t>
  </x:si>
  <x:si>
    <x:t>외주비</x:t>
  </x:si>
  <x:si>
    <x:t>골조</x:t>
  </x:si>
  <x:si>
    <x:t>2월</x:t>
  </x:si>
  <x:si>
    <x:t>평커버</x:t>
  </x:si>
  <x:si>
    <x:t>신호영</x:t>
  </x:si>
  <x:si>
    <x:t>사 장</x:t>
  </x:si>
  <x:si>
    <x:t>㈜희창</x:t>
  </x:si>
  <x:si>
    <x:t>스피커</x:t>
  </x:si>
  <x:si>
    <x:t>계</x:t>
  </x:si>
  <x:si>
    <x:t>김일수</x:t>
  </x:si>
  <x:si>
    <x:t>공종</x:t>
  </x:si>
  <x:si>
    <x:t>ELP</x:t>
  </x:si>
  <x:si>
    <x:t>임 원</x:t>
  </x:si>
  <x:si>
    <x:t>감지기</x:t>
  </x:si>
  <x:si>
    <x:t>작업릴</x:t>
  </x:si>
  <x:si>
    <x:t>7월분</x:t>
  </x:si>
  <x:si>
    <x:t>유창열</x:t>
  </x:si>
  <x:si>
    <x:t>이태환</x:t>
  </x:si>
  <x:si>
    <x:t>김호빈</x:t>
  </x:si>
  <x:si>
    <x:t>투입비</x:t>
  </x:si>
  <x:si>
    <x:t>결 재</x:t>
  </x:si>
  <x:si>
    <x:t>/</x:t>
  </x:si>
  <x:si>
    <x:t>준공</x:t>
  </x:si>
  <x:si>
    <x:t>최종우</x:t>
  </x:si>
  <x:si>
    <x:t>순번</x:t>
  </x:si>
  <x:si>
    <x:t>4월분</x:t>
  </x:si>
  <x:si>
    <x:t>부 장</x:t>
  </x:si>
  <x:si>
    <x:t>신종수</x:t>
  </x:si>
  <x:si>
    <x:t xml:space="preserve"> </x:t>
  </x:si>
  <x:si>
    <x:t>9일</x:t>
  </x:si>
  <x:si>
    <x:t>냉방기</x:t>
  </x:si>
  <x:si>
    <x:t>이석</x:t>
  </x:si>
  <x:si>
    <x:t>퇴직금</x:t>
  </x:si>
  <x:si>
    <x:t>운반비</x:t>
  </x:si>
  <x:si>
    <x:t>㈜선텍</x:t>
  </x:si>
  <x:si>
    <x:t>안길영</x:t>
  </x:si>
  <x:si>
    <x:t>권만영</x:t>
  </x:si>
  <x:si>
    <x:t>인터넷</x:t>
  </x:si>
  <x:si>
    <x:t>이석호</x:t>
  </x:si>
  <x:si>
    <x:t>㈜미성</x:t>
  </x:si>
  <x:si>
    <x:t>인지세</x:t>
  </x:si>
  <x:si>
    <x:t>선급금</x:t>
  </x:si>
  <x:si>
    <x:t>안전모</x:t>
  </x:si>
  <x:si>
    <x:t>핫팩외</x:t>
  </x:si>
  <x:si>
    <x:t>나충식</x:t>
  </x:si>
  <x:si>
    <x:t>1일</x:t>
  </x:si>
  <x:si>
    <x:t>1공구</x:t>
  </x:si>
  <x:si>
    <x:t>지급완</x:t>
  </x:si>
  <x:si>
    <x:t>발전기</x:t>
  </x:si>
  <x:si>
    <x:t>2공구</x:t>
  </x:si>
  <x:si>
    <x:t>분전반</x:t>
  </x:si>
  <x:si>
    <x:t>태양광</x:t>
  </x:si>
  <x:si>
    <x:t>미지급</x:t>
  </x:si>
  <x:si>
    <x:t>KT</x:t>
  </x:si>
  <x:si>
    <x:t>허만길</x:t>
  </x:si>
  <x:si>
    <x:t>이기봉</x:t>
  </x:si>
  <x:si>
    <x:t>2대</x:t>
  </x:si>
  <x:si>
    <x:t>조영호</x:t>
  </x:si>
  <x:si>
    <x:t>이창섭</x:t>
  </x:si>
  <x:si>
    <x:t>맨홀</x:t>
  </x:si>
  <x:si>
    <x:t>SDC</x:t>
  </x:si>
  <x:si>
    <x:t>찬넬</x:t>
  </x:si>
  <x:si>
    <x:t>홀쏘외</x:t>
  </x:si>
  <x:si>
    <x:t>1팀</x:t>
  </x:si>
  <x:si>
    <x:t>외주</x:t>
  </x:si>
  <x:si>
    <x:t>기납부</x:t>
  </x:si>
  <x:si>
    <x:t>강희욱</x:t>
  </x:si>
  <x:si>
    <x:t>우재하</x:t>
  </x:si>
  <x:si>
    <x:t>김용정</x:t>
  </x:si>
  <x:si>
    <x:t>냉장고</x:t>
  </x:si>
  <x:si>
    <x:t>윤용노</x:t>
  </x:si>
  <x:si>
    <x:t>김윤재</x:t>
  </x:si>
  <x:si>
    <x:t>종료</x:t>
  </x:si>
  <x:si>
    <x:t>중식대</x:t>
  </x:si>
  <x:si>
    <x:t>교정비</x:t>
  </x:si>
  <x:si>
    <x:t>2팀</x:t>
  </x:si>
  <x:si>
    <x:t>서인석</x:t>
  </x:si>
  <x:si>
    <x:t>박성범</x:t>
  </x:si>
  <x:si>
    <x:t>제어반</x:t>
  </x:si>
  <x:si>
    <x:t>온세분</x:t>
  </x:si>
  <x:si>
    <x:t>슬리브</x:t>
  </x:si>
  <x:si>
    <x:t>죽전동</x:t>
  </x:si>
  <x:si>
    <x:t>㈜세오</x:t>
  </x:si>
  <x:si>
    <x:t>4대</x:t>
  </x:si>
  <x:si>
    <x:t>1대</x:t>
  </x:si>
  <x:si>
    <x:t>접지봉</x:t>
  </x:si>
  <x:si>
    <x:t>춘추복</x:t>
  </x:si>
  <x:si>
    <x:t>공무</x:t>
  </x:si>
  <x:si>
    <x:t>잔액</x:t>
  </x:si>
  <x:si>
    <x:t>최창수</x:t>
  </x:si>
  <x:si>
    <x:t>오상윤</x:t>
  </x:si>
  <x:si>
    <x:t>상현동</x:t>
  </x:si>
  <x:si>
    <x:t>이병훈</x:t>
  </x:si>
  <x:si>
    <x:t>전기료</x:t>
  </x:si>
  <x:si>
    <x:t>접지망</x:t>
  </x:si>
  <x:si>
    <x:t>권태수</x:t>
  </x:si>
  <x:si>
    <x:t>중식</x:t>
  </x:si>
  <x:si>
    <x:t>비상벨</x:t>
  </x:si>
  <x:si>
    <x:t>포설</x:t>
  </x:si>
  <x:si>
    <x:t>회 장</x:t>
  </x:si>
  <x:si>
    <x:t>형창욱</x:t>
  </x:si>
  <x:si>
    <x:t>한수연</x:t>
  </x:si>
  <x:si>
    <x:t>조형석</x:t>
  </x:si>
  <x:si>
    <x:t>소광호</x:t>
  </x:si>
  <x:si>
    <x:t>휘전기</x:t>
  </x:si>
  <x:si>
    <x:t>스리브</x:t>
  </x:si>
  <x:si>
    <x:t>작업복</x:t>
  </x:si>
  <x:si>
    <x:t>숙소비</x:t>
  </x:si>
  <x:si>
    <x:t>코아</x:t>
  </x:si>
  <x:si>
    <x:t>수리</x:t>
  </x:si>
  <x:si>
    <x:t>7대</x:t>
  </x:si>
  <x:si>
    <x:t>아대외</x:t>
  </x:si>
  <x:si>
    <x:t>한차연</x:t>
  </x:si>
  <x:si>
    <x:t>㈜강솔</x:t>
  </x:si>
  <x:si>
    <x:t>도비</x:t>
  </x:si>
  <x:si>
    <x:t>김정훈</x:t>
  </x:si>
  <x:si>
    <x:t>맨홀외</x:t>
  </x:si>
  <x:si>
    <x:t>판넬</x:t>
  </x:si>
  <x:si>
    <x:t>석식</x:t>
  </x:si>
  <x:si>
    <x:t>전종금</x:t>
  </x:si>
  <x:si>
    <x:t>강솔</x:t>
  </x:si>
  <x:si>
    <x:t>신영빈</x:t>
  </x:si>
  <x:si>
    <x:t>죽전동 솔하임(임시전기)</x:t>
  </x:si>
  <x:si>
    <x:t xml:space="preserve"> 그라파이트 접지봉 외 </x:t>
  </x:si>
  <x:si>
    <x:t xml:space="preserve"> ANCHOR(SUS) </x:t>
  </x:si>
  <x:si>
    <x:t>9월,10월 폐기물처리비</x:t>
  </x:si>
  <x:si>
    <x:t xml:space="preserve"> 전산볼트캡(회색) 외 </x:t>
  </x:si>
  <x:si>
    <x:t xml:space="preserve"> TFR-CVVSB 외 </x:t>
  </x:si>
  <x:si>
    <x:t>마커스코리아(지급완료)</x:t>
  </x:si>
  <x:si>
    <x:t>ELP,후렉시블,풀박스</x:t>
  </x:si>
  <x:si>
    <x:t xml:space="preserve"> 콘센트플레이트1구 외 </x:t>
  </x:si>
  <x:si>
    <x:t>팔각스라브(54mm)데크 외</x:t>
  </x:si>
  <x:si>
    <x:t xml:space="preserve"> 서포트(2개용) 외 </x:t>
  </x:si>
  <x:si>
    <x:t xml:space="preserve"> 자동연결박스1G 외 </x:t>
  </x:si>
  <x:si>
    <x:t xml:space="preserve"> 난연CD - 카플링 외 </x:t>
  </x:si>
  <x:si>
    <x:t xml:space="preserve"> 대기전력차단콘센트3구외 </x:t>
  </x:si>
  <x:si>
    <x:t xml:space="preserve"> R/W COVER 외 </x:t>
  </x:si>
  <x:si>
    <x:t>청주동남 힐데스하임(1공구)</x:t>
  </x:si>
  <x:si>
    <x:t xml:space="preserve"> 접지봉 W/CLAMP 외 </x:t>
  </x:si>
  <x:si>
    <x:t>상현동 솔하임(임시전기)</x:t>
  </x:si>
  <x:si>
    <x:t>차광막(95%)무봉제 외</x:t>
  </x:si>
  <x:si>
    <x:t>T.G.P PANEL 외</x:t>
  </x:si>
  <x:si>
    <x:t>대기전력차단콘센트4구 외</x:t>
  </x:si>
  <x:si>
    <x:t>E.S LAMP SET</x:t>
  </x:si>
  <x:si>
    <x:t>UTP CAT.5E 외</x:t>
  </x:si>
  <x:si>
    <x:t>LONG SLEEVE 외</x:t>
  </x:si>
  <x:si>
    <x:t>매입콘센트1구(WH) 외</x:t>
  </x:si>
  <x:si>
    <x:t>2구방우콘센트+커버 외</x:t>
  </x:si>
  <x:si>
    <x:t>WIRE CONNECTOR</x:t>
  </x:si>
  <x:si>
    <x:t>매입콘센트2구(WH) 외</x:t>
  </x:si>
  <x:si>
    <x:t>2구방우콘센트(카바포함)</x:t>
  </x:si>
  <x:si>
    <x:t>RADIAX CABLE 외</x:t>
  </x:si>
  <x:si>
    <x:t>매입콘센트2구45도 외</x:t>
  </x:si>
  <x:si>
    <x:t>테스타기(아/국)메가 외</x:t>
  </x:si>
  <x:si>
    <x:t>BT1아시바비티수직틀 외</x:t>
  </x:si>
  <x:si>
    <x:t>전기라디에타(15핀) 외</x:t>
  </x:si>
  <x:si>
    <x:t>E.S LAMP SET 외</x:t>
  </x:si>
  <x:si>
    <x:t>450/750 HFIX 외</x:t>
  </x:si>
  <x:si>
    <x:t>팔각스라브(54mm)데크</x:t>
  </x:si>
  <x:si>
    <x:t>아테오스위치1로1구 외</x:t>
  </x:si>
  <x:si>
    <x:t>LD RISER CON 외</x:t>
  </x:si>
  <x:si>
    <x:t>3개월분(4월까지완납)</x:t>
  </x:si>
  <x:si>
    <x:t>450/750 HFIXF 외</x:t>
  </x:si>
  <x:si>
    <x:t>난연CD - 카플링 외</x:t>
  </x:si>
  <x:si>
    <x:t>수리(새469)충전드릴 외</x:t>
  </x:si>
  <x:si>
    <x:t>죽전동 솔하임(영광제일교회)</x:t>
  </x:si>
  <x:si>
    <x:t>300/500V VCTF 외</x:t>
  </x:si>
  <x:si>
    <x:t>s/t BOX 4각 외</x:t>
  </x:si>
  <x:si>
    <x:t>0.6/1KV TFR-3</x:t>
  </x:si>
  <x:si>
    <x:t>0.6/1KV TFR-8 외</x:t>
  </x:si>
  <x:si>
    <x:t>직결비스(흑/외날)#6 외</x:t>
  </x:si>
  <x:si>
    <x:t>GW16/콘센트조립 외</x:t>
  </x:si>
  <x:si>
    <x:t>T.G.P PANEL외</x:t>
  </x:si>
  <x:si>
    <x:t>MULTI SUPPORT외</x:t>
  </x:si>
  <x:si>
    <x:t>준공예정일
(계약준공일)</x:t>
  </x:si>
  <x:si>
    <x:t>0.6/1KV TFR-CV외</x:t>
  </x:si>
  <x:si>
    <x:t>연결박스(S/W용) 외</x:t>
  </x:si>
  <x:si>
    <x:t>ANCHOR(SUS)외</x:t>
  </x:si>
  <x:si>
    <x:t>스라브 배관 고정아대 외</x:t>
  </x:si>
  <x:si>
    <x:t>결로판(S/W용)1방외</x:t>
  </x:si>
  <x:si>
    <x:t>450/750V HFIX외</x:t>
  </x:si>
  <x:si>
    <x:t>0.6/1KV TFR-GV외</x:t>
  </x:si>
  <x:si>
    <x:t>S/T 승압용콘센트 외</x:t>
  </x:si>
  <x:si>
    <x:t>CASE 및 보강판 외</x:t>
  </x:si>
  <x:si>
    <x:t>ES LAMP SET외</x:t>
  </x:si>
  <x:si>
    <x:t>아테오 스위치1로1구외</x:t>
  </x:si>
  <x:si>
    <x:t>LD RISER CON외</x:t>
  </x:si>
  <x:si>
    <x:t>아테오 스위치 1로1구외</x:t>
  </x:si>
  <x:si>
    <x:t>분전반 연결박스-70MM외</x:t>
  </x:si>
  <x:si>
    <x:t>WIRE CONNECTOR외</x:t>
  </x:si>
  <x:si>
    <x:t>450/750 HFIX외</x:t>
  </x:si>
  <x:si>
    <x:t>접지단자함(내용물) 외</x:t>
  </x:si>
  <x:si>
    <x:t>HI-TEC TRAY외</x:t>
  </x:si>
  <x:si>
    <x:t>LADDER TRAY외</x:t>
  </x:si>
  <x:si>
    <x:t>위험테이프(특고압) 외</x:t>
  </x:si>
  <x:si>
    <x:t>계약보증료 및 근재보증료</x:t>
  </x:si>
  <x:si>
    <x:t>준공(02월),입주(04월)</x:t>
  </x:si>
  <x:si>
    <x:t>300/500V VCTF</x:t>
  </x:si>
  <x:si>
    <x:t>RW VER ELBOW외</x:t>
  </x:si>
  <x:si>
    <x:t>0.6/1KV TFR-CV</x:t>
  </x:si>
  <x:si>
    <x:t>한국전기안전공사 서울동부지사</x:t>
  </x:si>
  <x:si>
    <x:t>기성금액
(부가세제외)</x:t>
  </x:si>
  <x:si>
    <x:t>S/W 70-95MM외</x:t>
  </x:si>
  <x:si>
    <x:t>함마드릴(마끼다)까대기외</x:t>
  </x:si>
  <x:si>
    <x:t>스마일EDI 결제수수료</x:t>
  </x:si>
  <x:si>
    <x:t>0.6/1kv TFR-CV외</x:t>
  </x:si>
  <x:si>
    <x:t>스위치1로3구 외 10건</x:t>
  </x:si>
  <x:si>
    <x:t>U-BOLT CLIP외</x:t>
  </x:si>
  <x:si>
    <x:t>MOTOR SUPPORT외</x:t>
  </x:si>
  <x:si>
    <x:t>대기전력차단콘센트4구외</x:t>
  </x:si>
  <x:si>
    <x:t>포터 리스료(6472)</x:t>
  </x:si>
  <x:si>
    <x:t>숙소 임대료(매월7일 선불)</x:t>
  </x:si>
  <x:si>
    <x:t>한국전기안전공사서울동부지사</x:t>
  </x:si>
  <x:si>
    <x:t>드림오피스(화성정남점)</x:t>
  </x:si>
  <x:si>
    <x:t>U-BLOT CLIP외</x:t>
  </x:si>
  <x:si>
    <x:t>포터 리스료(6487)</x:t>
  </x:si>
  <x:si>
    <x:t>연천 음식물폐기물 재활용</x:t>
  </x:si>
  <x:si>
    <x:t>계약이행보증보험 가입 수수료</x:t>
  </x:si>
  <x:si>
    <x:t>사무실컨테이너(3*9)</x:t>
  </x:si>
  <x:si>
    <x:t>한국전기안전공사인천서부지사</x:t>
  </x:si>
  <x:si>
    <x:t>한남타워 숙서 가설전기</x:t>
  </x:si>
  <x:si>
    <x:t>BGF 에코바이오 청라공장</x:t>
  </x:si>
  <x:si>
    <x:t>후렉시블(GW) 외 12건</x:t>
  </x:si>
  <x:si>
    <x:t>RACE WAY 외 6건</x:t>
  </x:si>
  <x:si>
    <x:t>콘센트조립 8각 사이드</x:t>
  </x:si>
  <x:si>
    <x:t>함마드릴(보쉬36V)외</x:t>
  </x:si>
  <x:si>
    <x:t>전기공사기술자 발급수수료</x:t>
  </x:si>
  <x:si>
    <x:t>선급금(제이에스이엔지포함)</x:t>
  </x:si>
  <x:si>
    <x:t>전기안전공사서울북부지사</x:t>
  </x:si>
  <x:si>
    <x:t>수원 대유평지구 기반시설</x:t>
  </x:si>
  <x:si>
    <x:t>한국전기안전공사파주지사</x:t>
  </x:si>
  <x:si>
    <x:t>기술자 경력확인서 발급수수료</x:t>
  </x:si>
  <x:si>
    <x:t>잠실 청년주택 가설전기</x:t>
  </x:si>
  <x:si>
    <x:t>케이블걸이대(PVC)외</x:t>
  </x:si>
  <x:si>
    <x:t>동양건기(도시개발중기)</x:t>
  </x:si>
  <x:si>
    <x:t>계약이행보증보험 수수료</x:t>
  </x:si>
  <x:si>
    <x:t>TGS2D PANEL외</x:t>
  </x:si>
  <x:si>
    <x:t>패밀리타운 동력판넬 교체</x:t>
  </x:si>
  <x:si>
    <x:t>마커스코리아(계측장비제외)</x:t>
  </x:si>
  <x:si>
    <x:t>MULTI SUPPORT</x:t>
  </x:si>
  <x:si>
    <x:t>흑피스(외날)6*32외</x:t>
  </x:si>
  <x:si>
    <x:t>전기안전공사인천서부지사</x:t>
  </x:si>
  <x:si>
    <x:t>한국렌탈액세스수도권센터</x:t>
  </x:si>
  <x:si>
    <x:t>HP BOX CONN외</x:t>
  </x:si>
  <x:si>
    <x:t>의과대학 교육공간 리모델링</x:t>
  </x:si>
  <x:si>
    <x:t>HP HOR-ELBOW외</x:t>
  </x:si>
  <x:si>
    <x:t>450/750V HFIX</x:t>
  </x:si>
  <x:si>
    <x:t>2건(12/31입금완)</x:t>
  </x:si>
  <x:si>
    <x:t>SHANK NUT 1/2"외</x:t>
  </x:si>
  <x:si>
    <x:t>LD RISER CONN외</x:t>
  </x:si>
  <x:si>
    <x:t>HP HI-TEC TRAY외</x:t>
  </x:si>
  <x:si>
    <x:t>LD TRAY COVER외</x:t>
  </x:si>
  <x:si>
    <x:t>RACEWAY외 10건</x:t>
  </x:si>
  <x:si>
    <x:t>2건(01/27입금완)</x:t>
  </x:si>
  <x:si>
    <x:t>LD JOINT CONN외</x:t>
  </x:si>
  <x:si>
    <x:t>LD VER.ELBOW외</x:t>
  </x:si>
  <x:si>
    <x:t>패밀리타운 동력판넬교체</x:t>
  </x:si>
  <x:si>
    <x:t>포터(83소6487)리스료</x:t>
  </x:si>
  <x:si>
    <x:t>DASSO역서지접지봉외</x:t>
  </x:si>
  <x:si>
    <x:t>전산볼트 3/8"*3m외</x:t>
  </x:si>
  <x:si>
    <x:t>동관TERMINAL외 10건</x:t>
  </x:si>
  <x:si>
    <x:t>전기안전공사파주고양지사</x:t>
  </x:si>
  <x:si>
    <x:t>의료법인 인화재단 한국병원</x:t>
  </x:si>
  <x:si>
    <x:t>SHANK BOLT/NUT외</x:t>
  </x:si>
  <x:si>
    <x:t>분기 슬리브(AL) 외 2건</x:t>
  </x:si>
  <x:si>
    <x:t>RACEWAY COVER외</x:t>
  </x:si>
  <x:si>
    <x:t>성진건설중기(누리건기)</x:t>
  </x:si>
  <x:si>
    <x:t>베스트건설중기(왕진중기)</x:t>
  </x:si>
  <x:si>
    <x:t>GROUND PAD외7건</x:t>
  </x:si>
  <x:si>
    <x:t>300/500V VCTF외</x:t>
  </x:si>
  <x:si>
    <x:t>가설사용전검사비</x:t>
  </x:si>
  <x:si>
    <x:t>2구-&gt;1구 교체</x:t>
  </x:si>
  <x:si>
    <x:t>고양 지축프라자</x:t>
  </x:si>
  <x:si>
    <x:t>스위치1로2구외</x:t>
  </x:si>
  <x:si>
    <x:t>수배전반기성포함</x:t>
  </x:si>
  <x:si>
    <x:t>잠실청년주택 가설</x:t>
  </x:si>
  <x:si>
    <x:t>지급완(4/15)</x:t>
  </x:si>
  <x:si>
    <x:t>한국무역정보통신</x:t>
  </x:si>
  <x:si>
    <x:t>전자수입인지 대금</x:t>
  </x:si>
  <x:si>
    <x:t>시래기해장국함바</x:t>
  </x:si>
  <x:si>
    <x:t>조명기구(선급금)</x:t>
  </x:si>
  <x:si>
    <x:t>연용스프링박스외</x:t>
  </x:si>
  <x:si>
    <x:t>스위치3로1구외</x:t>
  </x:si>
  <x:si>
    <x:t>RW END CAP외</x:t>
  </x:si>
  <x:si>
    <x:t>지급완(4/8)</x:t>
  </x:si>
  <x:si>
    <x:t>근로자재해공제수수료</x:t>
  </x:si>
  <x:si>
    <x:t>진신중기(유연복)</x:t>
  </x:si>
  <x:si>
    <x:t>21.04~21.05</x:t>
  </x:si>
  <x:si>
    <x:t>진신중기(김범양)</x:t>
  </x:si>
  <x:si>
    <x:t>㈜동방방재시스템</x:t>
  </x:si>
  <x:si>
    <x:t>진신중기(임승철)</x:t>
  </x:si>
  <x:si>
    <x:t>전자수입 인지세</x:t>
  </x:si>
  <x:si>
    <x:t>1,2,3월식대</x:t>
  </x:si>
  <x:si>
    <x:t>계약보증수수료(추징)</x:t>
  </x:si>
  <x:si>
    <x:t>전기,통신,소방,계측</x:t>
  </x:si>
  <x:si>
    <x:t>온세분(노무비닷컴)</x:t>
  </x:si>
  <x:si>
    <x:t>곤지암할매소머리국밥</x:t>
  </x:si>
  <x:si>
    <x:t>누전차단기단자함</x:t>
  </x:si>
  <x:si>
    <x:t>경비(개인카드+현금)</x:t>
  </x:si>
  <x:si>
    <x:t>간이피난유도선외</x:t>
  </x:si>
  <x:si>
    <x:t>광양푸르지오 더센트럴</x:t>
  </x:si>
  <x:si>
    <x:t>세대분전반카바외</x:t>
  </x:si>
  <x:si>
    <x:t>LD TRAY외</x:t>
  </x:si>
  <x:si>
    <x:t>3*6 1대추가</x:t>
  </x:si>
  <x:si>
    <x:t>슬라브연결박스외</x:t>
  </x:si>
  <x:si>
    <x:t>EDS전해질접지봉외</x:t>
  </x:si>
  <x:si>
    <x:t>지급완(6/27)</x:t>
  </x:si>
  <x:si>
    <x:t>접지단자함내용물외</x:t>
  </x:si>
  <x:si>
    <x:t>23.10.30</x:t>
  </x:si>
  <x:si>
    <x:t>노출콘센트박스외</x:t>
  </x:si>
  <x:si>
    <x:t>사무실,창고구입</x:t>
  </x:si>
  <x:si>
    <x:t>에어컨 연결설치비</x:t>
  </x:si>
  <x:si>
    <x:t>스크류앙카볼트외</x:t>
  </x:si>
  <x:si>
    <x:t>온세분(지급완)</x:t>
  </x:si>
  <x:si>
    <x:t>LED원형투광등</x:t>
  </x:si>
  <x:si>
    <x:t>팔각스라브 데크용외</x:t>
  </x:si>
  <x:si>
    <x:t>관로구 방수장치외</x:t>
  </x:si>
  <x:si>
    <x:t>사각스라브 데크용외</x:t>
  </x:si>
  <x:si>
    <x:t>4각박스 54외</x:t>
  </x:si>
  <x:si>
    <x:t>대기전력콘센트외</x:t>
  </x:si>
  <x:si>
    <x:t>HP HI-TEC외</x:t>
  </x:si>
  <x:si>
    <x:t>전기안전공사인천지사</x:t>
  </x:si>
  <x:si>
    <x:t>철길지게차(전신중기)</x:t>
  </x:si>
  <x:si>
    <x:t>숙소임대료(701호)</x:t>
  </x:si>
  <x:si>
    <x:t>김정훈(퇴직금)</x:t>
  </x:si>
  <x:si>
    <x:t>RW V-ELBOW외</x:t>
  </x:si>
  <x:si>
    <x:t>SHOPDWG비</x:t>
  </x:si>
  <x:si>
    <x:t>사각조적,경량박스외</x:t>
  </x:si>
  <x:si>
    <x:t>기리(SDS)외</x:t>
  </x:si>
  <x:si>
    <x:t>트레이(허만일)</x:t>
  </x:si>
  <x:si>
    <x:t>철길지게차(진신중기)</x:t>
  </x:si>
  <x:si>
    <x:t>지급완(보증금포함)</x:t>
  </x:si>
  <x:si>
    <x:t>동남추가공사포함</x:t>
  </x:si>
  <x:si>
    <x:t>제이아이티솔루션</x:t>
  </x:si>
  <x:si>
    <x:t>TGP LED램프</x:t>
  </x:si>
  <x:si>
    <x:t>홍진전기낙찰율적용</x:t>
  </x:si>
  <x:si>
    <x:t>숙소임대료(402호)</x:t>
  </x:si>
  <x:si>
    <x:t>한일개발(소방포함)</x:t>
  </x:si>
  <x:si>
    <x:t>한일개발(소방)</x:t>
  </x:si>
  <x:si>
    <x:t>반코팅장갑외28건</x:t>
  </x:si>
  <x:si>
    <x:t>스피드캇타외5건</x:t>
  </x:si>
  <x:si>
    <x:t>충전임팩드릴외 27건</x:t>
  </x:si>
  <x:si>
    <x:t>21.11.28</x:t>
  </x:si>
  <x:si>
    <x:t>21.09.26</x:t>
  </x:si>
  <x:si>
    <x:t>접지단자함외3건</x:t>
  </x:si>
  <x:si>
    <x:t>C-TYPE보강철물</x:t>
  </x:si>
  <x:si>
    <x:t>㈜이도가컨설턴트</x:t>
  </x:si>
  <x:si>
    <x:t>데크스라브연결박스</x:t>
  </x:si>
  <x:si>
    <x:t>전산볼트 3/8"외</x:t>
  </x:si>
  <x:si>
    <x:t>지급완(9/16)</x:t>
  </x:si>
  <x:si>
    <x:t>LED피난구유도등외</x:t>
  </x:si>
  <x:si>
    <x:t>모래(중사)운반비</x:t>
  </x:si>
  <x:si>
    <x:t>중앙알엔티(주)</x:t>
  </x:si>
  <x:si>
    <x:t>골조,입선(2팀)</x:t>
  </x:si>
  <x:si>
    <x:t>LD TRAY 외</x:t>
  </x:si>
  <x:si>
    <x:t>TGP LED전등선</x:t>
  </x:si>
  <x:si>
    <x:t>사각,조적,경량박스</x:t>
  </x:si>
  <x:si>
    <x:t>23.04.30</x:t>
  </x:si>
  <x:si>
    <x:t>계측장비제외금액</x:t>
  </x:si>
  <x:si>
    <x:t>잠실 역세권 청년주택</x:t>
  </x:si>
  <x:si>
    <x:t xml:space="preserve">RACEWAY외 </x:t>
  </x:si>
  <x:si>
    <x:t>순천광양샘물유통</x:t>
  </x:si>
  <x:si>
    <x:t>10/20지급완</x:t>
  </x:si>
  <x:si>
    <x:t>전산스큐류앙카외</x:t>
  </x:si>
  <x:si>
    <x:t>~11.27일까지</x:t>
  </x:si>
  <x:si>
    <x:t>한라중기(대명건기)</x:t>
  </x:si>
  <x:si>
    <x:t>양주역세권 부지조성</x:t>
  </x:si>
  <x:si>
    <x:t>제이에스코아산업</x:t>
  </x:si>
  <x:si>
    <x:t>CRT회로수정외</x:t>
  </x:si>
  <x:si>
    <x:t>LD TRAY ST외</x:t>
  </x:si>
  <x:si>
    <x:t>23.02.28</x:t>
  </x:si>
  <x:si>
    <x:t>무선자동화재속보기외</x:t>
  </x:si>
  <x:si>
    <x:t>오비스커뮤니케이션스</x:t>
  </x:si>
  <x:si>
    <x:t>12/10결제완</x:t>
  </x:si>
  <x:si>
    <x:t>스위치1로6구외</x:t>
  </x:si>
  <x:si>
    <x:t>12/21결제완</x:t>
  </x:si>
  <x:si>
    <x:t>이질SLEEVE</x:t>
  </x:si>
  <x:si>
    <x:t>CCTV전용회선비용</x:t>
  </x:si>
  <x:si>
    <x:t>LED방폭등기구</x:t>
  </x:si>
  <x:si>
    <x:t>락카 스프레이이외</x:t>
  </x:si>
  <x:si>
    <x:t>스카치 록외2건</x:t>
  </x:si>
  <x:si>
    <x:t>LED방폭유도등</x:t>
  </x:si>
  <x:si>
    <x:t>C-SLEEVE</x:t>
  </x:si>
  <x:si>
    <x:t>김포이관(21.12)</x:t>
  </x:si>
  <x:si>
    <x:t>탑동12/20일이관</x:t>
  </x:si>
  <x:si>
    <x:t>준공정산(22.01)</x:t>
  </x:si>
  <x:si>
    <x:t>잠실역세권 청년주택</x:t>
  </x:si>
  <x:si>
    <x:t>틀비계(B.T) 외</x:t>
  </x:si>
  <x:si>
    <x:t>전기기성+소방준공</x:t>
  </x:si>
  <x:si>
    <x:t>마커스분50%부담</x:t>
  </x:si>
  <x:si>
    <x:t>직영인건비(김포)</x:t>
  </x:si>
  <x:si>
    <x:t>직영인건비(본사)</x:t>
  </x:si>
  <x:si>
    <x:t>HP JOINER외</x:t>
  </x:si>
  <x:si>
    <x:t>트레이,레이스웨이</x:t>
  </x:si>
  <x:si>
    <x:t>할로코아-연결대</x:t>
  </x:si>
  <x:si>
    <x:t>END CAP외</x:t>
  </x:si>
  <x:si>
    <x:t>유압절단기수리외</x:t>
  </x:si>
  <x:si>
    <x:t>HEAD PLATE외</x:t>
  </x:si>
  <x:si>
    <x:t>경비(출장지원)</x:t>
  </x:si>
  <x:si>
    <x:t>홍진전기(85%)</x:t>
  </x:si>
  <x:si>
    <x:t>12월계산서차감</x:t>
  </x:si>
  <x:si>
    <x:t>LD COVER외</x:t>
  </x:si>
  <x:si>
    <x:t>매입콘센트1구외</x:t>
  </x:si>
  <x:si>
    <x:t>숙소보증금(202호)</x:t>
  </x:si>
  <x:si>
    <x:t>RW 기구용금구외</x:t>
  </x:si>
  <x:si>
    <x:t>사무실보증금반환</x:t>
  </x:si>
  <x:si>
    <x:t>탄소저항접지모듈외</x:t>
  </x:si>
  <x:si>
    <x:t>㈜노다지 인천지점</x:t>
  </x:si>
  <x:si>
    <x:t>개별화물(오영만)</x:t>
  </x:si>
  <x:si>
    <x:t>카고 크레인(변대)</x:t>
  </x:si>
  <x:si>
    <x:t>사용인감(홍진)</x:t>
  </x:si>
  <x:si>
    <x:t>드림디포 금광점</x:t>
  </x:si>
  <x:si>
    <x:t>블랭크 플레이트외</x:t>
  </x:si>
  <x:si>
    <x:t>부동산중개수수료</x:t>
  </x:si>
  <x:si>
    <x:t>숙소임대료(202호)</x:t>
  </x:si>
  <x:si>
    <x:t>안전관리수수료(상가)</x:t>
  </x:si>
  <x:si>
    <x:t>HP JOINER</x:t>
  </x:si>
  <x:si>
    <x:t>남부전기기술단㈜</x:t>
  </x:si>
  <x:si>
    <x:t>UTP CAT6.외</x:t>
  </x:si>
  <x:si>
    <x:t>C-SLEEVE외</x:t>
  </x:si>
  <x:si>
    <x:t>산업안전교육원㈜</x:t>
  </x:si>
  <x:si>
    <x:t>가공박스콘넥타외</x:t>
  </x:si>
  <x:si>
    <x:t>TFR-AL-CV 외</x:t>
  </x:si>
  <x:si>
    <x:t>꽃음형 콘넥타 외</x:t>
  </x:si>
  <x:si>
    <x:t>FRP분전반 외</x:t>
  </x:si>
  <x:si>
    <x:t>5.10.지급완료</x:t>
  </x:si>
  <x:si>
    <x:t>전기임시+접지선공사</x:t>
  </x:si>
  <x:si>
    <x:t>반코팅장갑(국산) 외</x:t>
  </x:si>
  <x:si>
    <x:t>㈜에이디캡스 충주지사</x:t>
  </x:si>
  <x:si>
    <x:t>배관고정구(원형) 외</x:t>
  </x:si>
  <x:si>
    <x:t>요비선(KG) 외</x:t>
  </x:si>
  <x:si>
    <x:t>탄소저항접지모듈 외</x:t>
  </x:si>
  <x:si>
    <x:t>조적써포트(중고) 외</x:t>
  </x:si>
  <x:si>
    <x:t>이도비스(접) 외</x:t>
  </x:si>
  <x:si>
    <x:t>탄소저저항접지모듈 외</x:t>
  </x:si>
  <x:si>
    <x:t>절단석(3M) 외</x:t>
  </x:si>
  <x:si>
    <x:t>꽂음형 콘넥타 외</x:t>
  </x:si>
  <x:si>
    <x:t>SF16 조립 외</x:t>
  </x:si>
  <x:si>
    <x:t>손익(기성-투입)</x:t>
  </x:si>
  <x:si>
    <x:t>시래기해장국함바식당</x:t>
  </x:si>
  <x:si>
    <x:t>청주동남힐데스하임</x:t>
  </x:si>
  <x:si>
    <x:t>전기1공구,소방전기</x:t>
  </x:si>
  <x:si>
    <x:t>스위치스프링박스 외</x:t>
  </x:si>
  <x:si>
    <x:t>복사지(더블에이) 외</x:t>
  </x:si>
  <x:si>
    <x:t>충주호암힐데스하임</x:t>
  </x:si>
  <x:si>
    <x:t>손익
(기성-투입)</x:t>
  </x:si>
  <x:si>
    <x:t>알루미늄 봉 외</x:t>
  </x:si>
  <x:si>
    <x:t>한영정보통신
기성포함</x:t>
  </x:si>
  <x:si>
    <x:t>후렉시블(SF) 외</x:t>
  </x:si>
  <x:si>
    <x:t>HI 전선관 외</x:t>
  </x:si>
  <x:si>
    <x:t>S/T 풀 BOX 외</x:t>
  </x:si>
  <x:si>
    <x:t>자동연결박스1G 외</x:t>
  </x:si>
  <x:si>
    <x:t>복스세트(17PS)</x:t>
  </x:si>
  <x:si>
    <x:t>감지기(차동식) 외</x:t>
  </x:si>
  <x:si>
    <x:t>꽂음형콘넥타 외</x:t>
  </x:si>
  <x:si>
    <x:t>스라브배관고정봉 외</x:t>
  </x:si>
  <x:si>
    <x:t>팔각스라브54mm 외</x:t>
  </x:si>
  <x:si>
    <x:t>S/T 풀박스 외</x:t>
  </x:si>
  <x:si>
    <x:t>S/T 풀BOX 외</x:t>
  </x:si>
  <x:si>
    <x:t>LED 원형투광등 외</x:t>
  </x:si>
  <x:si>
    <x:t>신내역 힐데스하임</x:t>
  </x:si>
  <x:si>
    <x:t>F-CV CABLE</x:t>
  </x:si>
  <x:si>
    <x:t>케이블타이(흑색) 외</x:t>
  </x:si>
  <x:si>
    <x:t>팔각스라브 분리용 외</x:t>
  </x:si>
  <x:si>
    <x:t>난연CD - 카플링</x:t>
  </x:si>
  <x:si>
    <x:t>직선접속제(3M) 외</x:t>
  </x:si>
  <x:si>
    <x:t>직결비스(와)#8 외</x:t>
  </x:si>
  <x:si>
    <x:t>ES LAMP SET</x:t>
  </x:si>
  <x:si>
    <x:t>칼브럭기리(보쉬) 외</x:t>
  </x:si>
  <x:si>
    <x:t>온풍기(한일) 외</x:t>
  </x:si>
  <x:si>
    <x:t>B.C WIRE 외</x:t>
  </x:si>
  <x:si>
    <x:t>관로구 방수장치</x:t>
  </x:si>
  <x:si>
    <x:t>팔각스라브 데크용 외</x:t>
  </x:si>
  <x:si>
    <x:t>UTP CAT.5E</x:t>
  </x:si>
  <x:si>
    <x:t>굴삭기 (3일)</x:t>
  </x:si>
  <x:si>
    <x:t>가나공인중개사무소</x:t>
  </x:si>
  <x:si>
    <x:t>안전모(마크) 외</x:t>
  </x:si>
  <x:si>
    <x:t>바이메탈홀쏘 외</x:t>
  </x:si>
  <x:si>
    <x:t>천호2구역 임시동력</x:t>
  </x:si>
  <x:si>
    <x:t>자동연결박스 1G 외</x:t>
  </x:si>
  <x:si>
    <x:t>피난구유도등 외</x:t>
  </x:si>
  <x:si>
    <x:t>ELP연결슬리브 외</x:t>
  </x:si>
  <x:si>
    <x:t>스위치1로1구 외</x:t>
  </x:si>
  <x:si>
    <x:t>자동연결박스 1G</x:t>
  </x:si>
  <x:si>
    <x:t>월드평카바 4각</x:t>
  </x:si>
  <x:si>
    <x:t>스위치맹카바10파이</x:t>
  </x:si>
  <x:si>
    <x:t>케이블타이(백색) 외</x:t>
  </x:si>
  <x:si>
    <x:t>가공박스콘넥타 외</x:t>
  </x:si>
  <x:si>
    <x:t>L.A 18KV 외</x:t>
  </x:si>
  <x:si>
    <x:t>코리아인스트루먼트㈜</x:t>
  </x:si>
  <x:si>
    <x:t>LIGHTNING외</x:t>
  </x:si>
  <x:si>
    <x:t>TGP PANEL외</x:t>
  </x:si>
  <x:si>
    <x:t>이도비스(접)외</x:t>
  </x:si>
  <x:si>
    <x:t>충전함마드릴수리외</x:t>
  </x:si>
  <x:si>
    <x:t>임시전기,가설사무실</x:t>
  </x:si>
  <x:si>
    <x:t>4각연결박스 외</x:t>
  </x:si>
  <x:si>
    <x:t>동관TERMINAL외</x:t>
  </x:si>
  <x:si>
    <x:t>TFR-AL-CV외</x:t>
  </x:si>
  <x:si>
    <x:t>자동연결박스 1G외</x:t>
  </x:si>
  <x:si>
    <x:t>반석엔지니어링㈜</x:t>
  </x:si>
  <x:si>
    <x:t>ELB일체형콘센트함외</x:t>
  </x:si>
  <x:si>
    <x:t>외주인건비(골조)</x:t>
  </x:si>
  <x:si>
    <x:t>결로판(신형)통합형외</x:t>
  </x:si>
  <x:si>
    <x:t>RACE WAY 외</x:t>
  </x:si>
  <x:si>
    <x:t>전기테이블(흑색)외</x:t>
  </x:si>
  <x:si>
    <x:t>열연감지기시험기</x:t>
  </x:si>
  <x:si>
    <x:t>결속선(5KG용)경외</x:t>
  </x:si>
  <x:si>
    <x:t>신우전자 서울영업소</x:t>
  </x:si>
  <x:si>
    <x:t>배터리(보쉬)외</x:t>
  </x:si>
  <x:si>
    <x:t>성진건기(골조)</x:t>
  </x:si>
  <x:si>
    <x:t>절단석(3M)외</x:t>
  </x:si>
  <x:si>
    <x:t>결로판(S/W)1방외</x:t>
  </x:si>
  <x:si>
    <x:t>ELB일체형콘센트함</x:t>
  </x:si>
  <x:si>
    <x:t>S/T풀BOX외</x:t>
  </x:si>
  <x:si>
    <x:t>고관종합중기(최중철)</x:t>
  </x:si>
  <x:si>
    <x:t>한남동 임시동력</x:t>
  </x:si>
  <x:si>
    <x:t>ED자동연결S/W외</x:t>
  </x:si>
  <x:si>
    <x:t>LD H-TEE외</x:t>
  </x:si>
  <x:si>
    <x:t>대기전력차단콘센트외</x:t>
  </x:si>
  <x:si>
    <x:t>UTP CAT.5E외</x:t>
  </x:si>
  <x:si>
    <x:t>꽂음형 콘넥타외</x:t>
  </x:si>
  <x:si>
    <x:t>S/T 풀BOX외</x:t>
  </x:si>
  <x:si>
    <x:t>램프(삼파장)외</x:t>
  </x:si>
  <x:si>
    <x:t>ED자동연결박스외</x:t>
  </x:si>
  <x:si>
    <x:t>ED자동연결박스</x:t>
  </x:si>
  <x:si>
    <x:t>슬라브배관고정봉외</x:t>
  </x:si>
  <x:si>
    <x:t>난연CD - 카플링외</x:t>
  </x:si>
  <x:si>
    <x:t>진로석수스마일상사</x:t>
  </x:si>
  <x:si>
    <x:t>RW V/ELBOW외</x:t>
  </x:si>
  <x:si>
    <x:t>HP V-ELBOW외</x:t>
  </x:si>
  <x:si>
    <x:t>LD H-ELBOW</x:t>
  </x:si>
  <x:si>
    <x:t>난연CD - 콘넥타외</x:t>
  </x:si>
  <x:si>
    <x:t>사무실 임대보증금반환</x:t>
  </x:si>
  <x:si>
    <x:t>비접촉전외선체온계</x:t>
  </x:si>
  <x:si>
    <x:t>면장갑(기본)외</x:t>
  </x:si>
  <x:si>
    <x:t>지급완료(6/12)</x:t>
  </x:si>
  <x:si>
    <x:t>ED CD-콘넥타외</x:t>
  </x:si>
  <x:si>
    <x:t>가로등 직선접속재</x:t>
  </x:si>
  <x:si>
    <x:t>SF 후렉시블외</x:t>
  </x:si>
  <x:si>
    <x:t>노출콘센트1구 외</x:t>
  </x:si>
  <x:si>
    <x:t>가설수배전반임대료</x:t>
  </x:si>
  <x:si>
    <x:t>승원엔지니어링㈜</x:t>
  </x:si>
  <x:si>
    <x:t>숙소임대료(343호)</x:t>
  </x:si>
  <x:si>
    <x:t>노출콘센트1구외</x:t>
  </x:si>
  <x:si>
    <x:t>방우콘센트2구외</x:t>
  </x:si>
  <x:si>
    <x:t>식대(조,중,석식)</x:t>
  </x:si>
  <x:si>
    <x:t>분전반연결박스외</x:t>
  </x:si>
  <x:si>
    <x:t>매입콘센트2구외</x:t>
  </x:si>
  <x:si>
    <x:t>압착TERMINAL외</x:t>
  </x:si>
  <x:si>
    <x:t>원격검침 계량기</x:t>
  </x:si>
  <x:si>
    <x:t>태양광설비 선급금</x:t>
  </x:si>
  <x:si>
    <x:t>알루미늄사다리외</x:t>
  </x:si>
  <x:si>
    <x:t>후렉스블(SF)외</x:t>
  </x:si>
  <x:si>
    <x:t>RW COVER외</x:t>
  </x:si>
  <x:si>
    <x:t>RACEWAY외</x:t>
  </x:si>
  <x:si>
    <x:t>지급완:7/31</x:t>
  </x:si>
  <x:si>
    <x:t>찬넬(HDG)외</x:t>
  </x:si>
  <x:si>
    <x:t>HP H-TEE외</x:t>
  </x:si>
  <x:si>
    <x:t>MCC,분전반 선급금</x:t>
  </x:si>
  <x:si>
    <x:t>지급완:7/16</x:t>
  </x:si>
  <x:si>
    <x:t>후렉시블(SF)외</x:t>
  </x:si>
  <x:si>
    <x:t>앤드카바(PVC)외</x:t>
  </x:si>
  <x:si>
    <x:t>SB V-TEE외</x:t>
  </x:si>
  <x:si>
    <x:t>직결비스(와)외</x:t>
  </x:si>
  <x:si>
    <x:t>RACEWAY 외</x:t>
  </x:si>
  <x:si>
    <x:t>수배전반,발전기</x:t>
  </x:si>
  <x:si>
    <x:t>스위치 1로1구외</x:t>
  </x:si>
  <x:si>
    <x:t>스위치스프링박스외</x:t>
  </x:si>
  <x:si>
    <x:t>㈜제이에스이엔지</x:t>
  </x:si>
  <x:si>
    <x:t>데크슬라브연결박스</x:t>
  </x:si>
  <x:si>
    <x:t>방우콘센트2구45도외</x:t>
  </x:si>
  <x:si>
    <x:t>스위치1로1구외</x:t>
  </x:si>
  <x:si>
    <x:t>㈜에이엠알시스템</x:t>
  </x:si>
  <x:si>
    <x:t>후렉시블(GW)외</x:t>
  </x:si>
  <x:si>
    <x:t>SB DUCT외</x:t>
  </x:si>
  <x:si>
    <x:t>매입콘센트2구45도외</x:t>
  </x:si>
  <x:si>
    <x:t>이질SLEEVE외</x:t>
  </x:si>
  <x:si>
    <x:t>전기안전공사서부지사</x:t>
  </x:si>
  <x:si>
    <x:t>청주탑동힐데스하임</x:t>
  </x:si>
  <x:si>
    <x:t>난연cd-카플링</x:t>
  </x:si>
  <x:si>
    <x:t>㈜삼삼전기관리공사</x:t>
  </x:si>
  <x:si>
    <x:t>LD BOX CON외</x:t>
  </x:si>
  <x:si>
    <x:t>숙소보증금(10월분)</x:t>
  </x:si>
  <x:si>
    <x:t>청주탑동 힐데스하임</x:t>
  </x:si>
  <x:si>
    <x:t>종단접속재및단말</x:t>
  </x:si>
  <x:si>
    <x:t>한남타워숙소 가설전기</x:t>
  </x:si>
  <x:si>
    <x:t>신화테크 two</x:t>
  </x:si>
  <x:si>
    <x:t>HP H-ELBOW외</x:t>
  </x:si>
  <x:si>
    <x:t>접지단자함외9건</x:t>
  </x:si>
  <x:si>
    <x:t>단말접속제외42건</x:t>
  </x:si>
  <x:si>
    <x:t>11/30지급완</x:t>
  </x:si>
  <x:si>
    <x:t>11/17지급완</x:t>
  </x:si>
  <x:si>
    <x:t>11/18지급완</x:t>
  </x:si>
  <x:si>
    <x:t>컨테이너구입(2대)</x:t>
  </x:si>
  <x:si>
    <x:t>12/21 입주시작</x:t>
  </x:si>
  <x:si>
    <x:t>김포한강 듀클래스</x:t>
  </x:si>
  <x:si>
    <x:t>방우콘센트커버2구외</x:t>
  </x:si>
  <x:si>
    <x:t>전기,통신,소방</x:t>
  </x:si>
  <x:si>
    <x:t>11/13지급완</x:t>
  </x:si>
  <x:si>
    <x:t>피난구 유도등외</x:t>
  </x:si>
  <x:si>
    <x:t>할로코아 연결대</x:t>
  </x:si>
  <x:si>
    <x:t>콘센트플레이트2구외</x:t>
  </x:si>
  <x:si>
    <x:t>지급완12/30</x:t>
  </x:si>
  <x:si>
    <x:t>사용전검사비2차</x:t>
  </x:si>
  <x:si>
    <x:t>㈜이레전기이엔씨</x:t>
  </x:si>
  <x:si>
    <x:t>지급완12/14</x:t>
  </x:si>
  <x:si>
    <x:t>승원 F.S 산업</x:t>
  </x:si>
  <x:si>
    <x:t>스위치1로3구외</x:t>
  </x:si>
  <x:si>
    <x:t>한국전기공사협회</x:t>
  </x:si>
  <x:si>
    <x:t>전자서명 수수료</x:t>
  </x:si>
  <x:si>
    <x:t>발신기 SET외 8건</x:t>
  </x:si>
  <x:si>
    <x:t>근재보험 가입 수수료</x:t>
  </x:si>
  <x:si>
    <x:t>㈜동양엔지니어링</x:t>
  </x:si>
  <x:si>
    <x:t xml:space="preserve">SMILE EDI </x:t>
  </x:si>
  <x:si>
    <x:t>지급완11/30</x:t>
  </x:si>
  <x:si>
    <x:t>전기공사공제조합</x:t>
  </x:si>
  <x:si>
    <x:t>개별화물(송찬영)</x:t>
  </x:si>
  <x:si>
    <x:t>사용전검사비상가</x:t>
  </x:si>
  <x:si>
    <x:t>보관료(9개월)</x:t>
  </x:si>
  <x:si>
    <x:t>기초,맨홀</x:t>
  </x:si>
  <x:si>
    <x:t>남도맛집</x:t>
  </x:si>
  <x:si>
    <x:t>접지단자함</x:t>
  </x:si>
  <x:si>
    <x:t>동해전력</x:t>
  </x:si>
  <x:si>
    <x:t>폐기물처리비</x:t>
  </x:si>
  <x:si>
    <x:t>03W*2일</x:t>
  </x:si>
  <x:si>
    <x:t>수정형외과</x:t>
  </x:si>
  <x:si>
    <x:t>다온푸드</x:t>
  </x:si>
  <x:si>
    <x:t>가마지구하자</x:t>
  </x:si>
  <x:si>
    <x:t>고려전기상사</x:t>
  </x:si>
  <x:si>
    <x:t>태양트레이</x:t>
  </x:si>
  <x:si>
    <x:t>청담골2</x:t>
  </x:si>
  <x:si>
    <x:t>식대(석식)</x:t>
  </x:si>
  <x:si>
    <x:t>가설변대철거</x:t>
  </x:si>
  <x:si>
    <x:t>통나무묵집</x:t>
  </x:si>
  <x:si>
    <x:t>참물유통</x:t>
  </x:si>
  <x:si>
    <x:t>가원콘테이너</x:t>
  </x:si>
  <x:si>
    <x:t>진성판렐</x:t>
  </x:si>
  <x:si>
    <x:t>대덕휴비즈</x:t>
  </x:si>
  <x:si>
    <x:t>현장가설사무실</x:t>
  </x:si>
  <x:si>
    <x:t>신화소방</x:t>
  </x:si>
  <x:si>
    <x:t>부성전자</x:t>
  </x:si>
  <x:si>
    <x:t>이안산업개발</x:t>
  </x:si>
  <x:si>
    <x:t>실외기 교체</x:t>
  </x:si>
  <x:si>
    <x:t>경비(식대외)</x:t>
  </x:si>
  <x:si>
    <x:t>우본산업㈜</x:t>
  </x:si>
  <x:si>
    <x:t>㈜광명이엔지</x:t>
  </x:si>
  <x:si>
    <x:t>㈜고려전기상사</x:t>
  </x:si>
  <x:si>
    <x:t>임대료08월분</x:t>
  </x:si>
  <x:si>
    <x:t>TFR-8</x:t>
  </x:si>
  <x:si>
    <x:t>외주비(포설)</x:t>
  </x:si>
  <x:si>
    <x:t>자동연결박스</x:t>
  </x:si>
  <x:si>
    <x:t>봉시칼국수</x:t>
  </x:si>
  <x:si>
    <x:t>㈜광명전상</x:t>
  </x:si>
  <x:si>
    <x:t>가설투광등공사</x:t>
  </x:si>
  <x:si>
    <x:t xml:space="preserve"> 사각박스 </x:t>
  </x:si>
  <x:si>
    <x:t>외주비공제분</x:t>
  </x:si>
  <x:si>
    <x:t>㈜위더스시스템</x:t>
  </x:si>
  <x:si>
    <x:t>서울전선㈜</x:t>
  </x:si>
  <x:si>
    <x:t xml:space="preserve"> 결속선 외 </x:t>
  </x:si>
  <x:si>
    <x:t>굴삭기(맨홀)</x:t>
  </x:si>
  <x:si>
    <x:t>㈜큐렉스</x:t>
  </x:si>
  <x:si>
    <x:t>가람F.S㈜</x:t>
  </x:si>
  <x:si>
    <x:t xml:space="preserve"> 방화구획 </x:t>
  </x:si>
  <x:si>
    <x:t>AJ네트웍스㈜</x:t>
  </x:si>
  <x:si>
    <x:t>고소장비렌탈</x:t>
  </x:si>
  <x:si>
    <x:t>외주식대</x:t>
  </x:si>
  <x:si>
    <x:t xml:space="preserve"> 풀박스 외 </x:t>
  </x:si>
  <x:si>
    <x:t>임대료10월분</x:t>
  </x:si>
  <x:si>
    <x:t xml:space="preserve"> HFIX </x:t>
  </x:si>
  <x:si>
    <x:t>임대료09월분</x:t>
  </x:si>
  <x:si>
    <x:t>태양트레이㈜</x:t>
  </x:si>
  <x:si>
    <x:t xml:space="preserve"> VCT-F </x:t>
  </x:si>
  <x:si>
    <x:t>대상산업</x:t>
  </x:si>
  <x:si>
    <x:t>㈜대한케이블</x:t>
  </x:si>
  <x:si>
    <x:t>사무실썬팅</x:t>
  </x:si>
  <x:si>
    <x:t>임대료11월분</x:t>
  </x:si>
  <x:si>
    <x:t>연합건설기계</x:t>
  </x:si>
  <x:si>
    <x:t>오류동 솔하임</x:t>
  </x:si>
  <x:si>
    <x:t xml:space="preserve"> 웨샤캡외 </x:t>
  </x:si>
  <x:si>
    <x:t>㈜한신이엔씨</x:t>
  </x:si>
  <x:si>
    <x:t>남양인력개발</x:t>
  </x:si>
  <x:si>
    <x:t>㈜에스앤에스</x:t>
  </x:si>
  <x:si>
    <x:t xml:space="preserve"> 세대분전반 </x:t>
  </x:si>
  <x:si>
    <x:t>임차보증금</x:t>
  </x:si>
  <x:si>
    <x:t>유보금완료</x:t>
  </x:si>
  <x:si>
    <x:t>다운라이트 외</x:t>
  </x:si>
  <x:si>
    <x:t>HI전선관 외</x:t>
  </x:si>
  <x:si>
    <x:t xml:space="preserve"> 차단기 </x:t>
  </x:si>
  <x:si>
    <x:t>중개수수료</x:t>
  </x:si>
  <x:si>
    <x:t>한솔컨테이너</x:t>
  </x:si>
  <x:si>
    <x:t>계약관련</x:t>
  </x:si>
  <x:si>
    <x:t xml:space="preserve"> 지지대 </x:t>
  </x:si>
  <x:si>
    <x:t>㈜대명전설</x:t>
  </x:si>
  <x:si>
    <x:t>지급수수료</x:t>
  </x:si>
  <x:si>
    <x:t>우레탄폼외</x:t>
  </x:si>
  <x:si>
    <x:t>우레탐폼 외</x:t>
  </x:si>
  <x:si>
    <x:t>㈜금성콘트롤</x:t>
  </x:si>
  <x:si>
    <x:t>임시투광등공사</x:t>
  </x:si>
  <x:si>
    <x:t>㈜태건 비에프</x:t>
  </x:si>
  <x:si>
    <x:t>TFR-GV외</x:t>
  </x:si>
  <x:si>
    <x:t>FRP분전반</x:t>
  </x:si>
  <x:si>
    <x:t>㈜태형이엠씨</x:t>
  </x:si>
  <x:si>
    <x:t>컨테이너임차료</x:t>
  </x:si>
  <x:si>
    <x:t>임대료01월분</x:t>
  </x:si>
  <x:si>
    <x:t>경량보강철물</x:t>
  </x:si>
  <x:si>
    <x:t>방우콘센트2구</x:t>
  </x:si>
  <x:si>
    <x:t>보강철물 외</x:t>
  </x:si>
  <x:si>
    <x:t>전기1공구</x:t>
  </x:si>
  <x:si>
    <x:t>㈜우본산업</x:t>
  </x:si>
  <x:si>
    <x:t xml:space="preserve"> ELP전선관</x:t>
  </x:si>
  <x:si>
    <x:t>임대료1월분</x:t>
  </x:si>
  <x:si>
    <x:t>임대료12월분</x:t>
  </x:si>
  <x:si>
    <x:t>전기임시</x:t>
  </x:si>
  <x:si>
    <x:t>㈜가교테크</x:t>
  </x:si>
  <x:si>
    <x:t>컴파인더</x:t>
  </x:si>
  <x:si>
    <x:t>전기맨홀 외</x:t>
  </x:si>
  <x:si>
    <x:t>이엔엠산업</x:t>
  </x:si>
  <x:si>
    <x:t>간선포설</x:t>
  </x:si>
  <x:si>
    <x:t>평커버 외</x:t>
  </x:si>
  <x:si>
    <x:t>차단기외</x:t>
  </x:si>
  <x:si>
    <x:t>복합기임대료</x:t>
  </x:si>
  <x:si>
    <x:t>컴퓨터1대</x:t>
  </x:si>
  <x:si>
    <x:t>임대료02월분</x:t>
  </x:si>
  <x:si>
    <x:t>동해전력㈜</x:t>
  </x:si>
  <x:si>
    <x:t>철근콘넥타 외</x:t>
  </x:si>
  <x:si>
    <x:t>OA코리아</x:t>
  </x:si>
  <x:si>
    <x:t>신한종합상사</x:t>
  </x:si>
  <x:si>
    <x:t>3개월분</x:t>
  </x:si>
  <x:si>
    <x:t>풀링외주비</x:t>
  </x:si>
  <x:si>
    <x:t>영림컨테이너</x:t>
  </x:si>
  <x:si>
    <x:t>진로석수</x:t>
  </x:si>
  <x:si>
    <x:t>HFIX 외</x:t>
  </x:si>
  <x:si>
    <x:t>메리츠캐피탈</x:t>
  </x:si>
  <x:si>
    <x:t>포터 리스료</x:t>
  </x:si>
  <x:si>
    <x:t>사무실2대임대</x:t>
  </x:si>
  <x:si>
    <x:t>GW16 조립</x:t>
  </x:si>
  <x:si>
    <x:t>스카이1일</x:t>
  </x:si>
  <x:si>
    <x:t>똥보식당</x:t>
  </x:si>
  <x:si>
    <x:t>풀박스 외</x:t>
  </x:si>
  <x:si>
    <x:t>스카이차</x:t>
  </x:si>
  <x:si>
    <x:t>나동선 외</x:t>
  </x:si>
  <x:si>
    <x:t>안전모 외</x:t>
  </x:si>
  <x:si>
    <x:t>난연CD 외</x:t>
  </x:si>
  <x:si>
    <x:t>보증금환수</x:t>
  </x:si>
  <x:si>
    <x:t>㈜예스안전</x:t>
  </x:si>
  <x:si>
    <x:t>임대료2월분</x:t>
  </x:si>
  <x:si>
    <x:t>㈜다온푸드</x:t>
  </x:si>
  <x:si>
    <x:t>숙소임대료</x:t>
  </x:si>
  <x:si>
    <x:t>난연 CD 외</x:t>
  </x:si>
  <x:si>
    <x:t>고향밥상</x:t>
  </x:si>
  <x:si>
    <x:t>이종연결관 외</x:t>
  </x:si>
  <x:si>
    <x:t>미락한식부페</x:t>
  </x:si>
  <x:si>
    <x:t>굴삭기사용료</x:t>
  </x:si>
  <x:si>
    <x:t>명인O.A</x:t>
  </x:si>
  <x:si>
    <x:t>지게차사용료</x:t>
  </x:si>
  <x:si>
    <x:t>중원건기</x:t>
  </x:si>
  <x:si>
    <x:t>SHOP비용</x:t>
  </x:si>
  <x:si>
    <x:t>전기공제조합</x:t>
  </x:si>
  <x:si>
    <x:t>㈜디알푸드</x:t>
  </x:si>
  <x:si>
    <x:t>안전모외</x:t>
  </x:si>
  <x:si>
    <x:t>컨테이너벌금</x:t>
  </x:si>
  <x:si>
    <x:t>접지단자함 외</x:t>
  </x:si>
  <x:si>
    <x:t>㈜용광이엔씨</x:t>
  </x:si>
  <x:si>
    <x:t>근태관리기구입</x:t>
  </x:si>
  <x:si>
    <x:t>계약보증료</x:t>
  </x:si>
  <x:si>
    <x:t>준서네밥상</x:t>
  </x:si>
  <x:si>
    <x:t>김&amp;최 전기</x:t>
  </x:si>
  <x:si>
    <x:t>사다리외</x:t>
  </x:si>
  <x:si>
    <x:t>식대(중식)</x:t>
  </x:si>
  <x:si>
    <x:t>현대오피스</x:t>
  </x:si>
  <x:si>
    <x:t>홀쏘 외</x:t>
  </x:si>
  <x:si>
    <x:t>한성컴퍼니</x:t>
  </x:si>
  <x:si>
    <x:t>특고압단말처리</x:t>
  </x:si>
  <x:si>
    <x:t>신화소방㈜</x:t>
  </x:si>
  <x:si>
    <x:t>㈜가교상사</x:t>
  </x:si>
  <x:si>
    <x:t>감지기 외</x:t>
  </x:si>
  <x:si>
    <x:t>단말접속제 외</x:t>
  </x:si>
  <x:si>
    <x:t>렌탈사용료</x:t>
  </x:si>
  <x:si>
    <x:t>톱날 외</x:t>
  </x:si>
  <x:si>
    <x:t>신월컴퓨터</x:t>
  </x:si>
  <x:si>
    <x:t>스위치1 외</x:t>
  </x:si>
  <x:si>
    <x:t>안전교육</x:t>
  </x:si>
  <x:si>
    <x:t>㈜태건비에프</x:t>
  </x:si>
  <x:si>
    <x:t>자재인양함</x:t>
  </x:si>
  <x:si>
    <x:t>그래픽카드외</x:t>
  </x:si>
  <x:si>
    <x:t>가나전기</x:t>
  </x:si>
  <x:si>
    <x:t>㈜희창조명</x:t>
  </x:si>
  <x:si>
    <x:t>간선포설외주</x:t>
  </x:si>
  <x:si>
    <x:t>박홍규외</x:t>
  </x:si>
  <x:si>
    <x:t>김근성부장</x:t>
  </x:si>
  <x:si>
    <x:t>감리단장축의금</x:t>
  </x:si>
  <x:si>
    <x:t>탄소접지봉 외</x:t>
  </x:si>
  <x:si>
    <x:t>춘추작업복</x:t>
  </x:si>
  <x:si>
    <x:t>와이티시스템</x:t>
  </x:si>
  <x:si>
    <x:t>BC WIRE</x:t>
  </x:si>
  <x:si>
    <x:t>TFR-CV</x:t>
  </x:si>
  <x:si>
    <x:t>난연레듀샤 외</x:t>
  </x:si>
  <x:si>
    <x:t>㈜대상산업</x:t>
  </x:si>
  <x:si>
    <x:t>우레탄폼 외</x:t>
  </x:si>
  <x:si>
    <x:t>흙손 외</x:t>
  </x:si>
  <x:si>
    <x:t>SK네트웍스㈜</x:t>
  </x:si>
  <x:si>
    <x:t>케이블캇타외</x:t>
  </x:si>
  <x:si>
    <x:t>소방결선</x:t>
  </x:si>
  <x:si>
    <x:t>한성테크</x:t>
  </x:si>
  <x:si>
    <x:t>화재경보기 외</x:t>
  </x:si>
  <x:si>
    <x:t>대흥전기</x:t>
  </x:si>
  <x:si>
    <x:t>TFR-GV</x:t>
  </x:si>
  <x:si>
    <x:t>접지봉 외</x:t>
  </x:si>
  <x:si>
    <x:t>골조외주</x:t>
  </x:si>
  <x:si>
    <x:t>전기맨홀노바시</x:t>
  </x:si>
  <x:si>
    <x:t>㈜근명기업</x:t>
  </x:si>
  <x:si>
    <x:t>안전용품</x:t>
  </x:si>
  <x:si>
    <x:t>고소장비렌탈료</x:t>
  </x:si>
  <x:si>
    <x:t>난연 CD</x:t>
  </x:si>
  <x:si>
    <x:t>소방결선외주</x:t>
  </x:si>
  <x:si>
    <x:t>웰빙밥상</x:t>
  </x:si>
  <x:si>
    <x:t>직지지게차</x:t>
  </x:si>
  <x:si>
    <x:t>에어컨119</x:t>
  </x:si>
  <x:si>
    <x:t>실외기판넬</x:t>
  </x:si>
  <x:si>
    <x:t>소방필증경비</x:t>
  </x:si>
  <x:si>
    <x:t>가설사무실분양</x:t>
  </x:si>
  <x:si>
    <x:t>죽전동영광교회</x:t>
  </x:si>
  <x:si>
    <x:t>남동이앤아이㈜</x:t>
  </x:si>
  <x:si>
    <x:t>투빈시스템</x:t>
  </x:si>
  <x:si>
    <x:t>에어컨설치비</x:t>
  </x:si>
  <x:si>
    <x:t>총투입계</x:t>
  </x:si>
  <x:si>
    <x:t>안전표지판</x:t>
  </x:si>
  <x:si>
    <x:t>죽전동 솔하임</x:t>
  </x:si>
  <x:si>
    <x:t>진현전기㈜</x:t>
  </x:si>
  <x:si>
    <x:t>기기철거비</x:t>
  </x:si>
  <x:si>
    <x:t>스틸파이프 외</x:t>
  </x:si>
  <x:si>
    <x:t>상현동 솔하임</x:t>
  </x:si>
  <x:si>
    <x:t>용해전기</x:t>
  </x:si>
  <x:si>
    <x:t>전종남외</x:t>
  </x:si>
  <x:si>
    <x:t>소방포설외주</x:t>
  </x:si>
  <x:si>
    <x:t>입선외주</x:t>
  </x:si>
  <x:si>
    <x:t>전기,소방전기</x:t>
  </x:si>
  <x:si>
    <x:t>HFBT 외</x:t>
  </x:si>
  <x:si>
    <x:t>에어컨구매</x:t>
  </x:si>
  <x:si>
    <x:t>㈜합동전자산업</x:t>
  </x:si>
  <x:si>
    <x:t>스위치맹카바</x:t>
  </x:si>
  <x:si>
    <x:t>BC 외</x:t>
  </x:si>
  <x:si>
    <x:t>VAT제외</x:t>
  </x:si>
  <x:si>
    <x:t>전자식전력량계</x:t>
  </x:si>
  <x:si>
    <x:t>행복상사</x:t>
  </x:si>
  <x:si>
    <x:t>광명산업</x:t>
  </x:si>
  <x:si>
    <x:t>노원건설중기</x:t>
  </x:si>
  <x:si>
    <x:t>개별화물</x:t>
  </x:si>
  <x:si>
    <x:t>성원이엔에프㈜</x:t>
  </x:si>
  <x:si>
    <x:t>㈜신우에스엠</x:t>
  </x:si>
  <x:si>
    <x:t>기성금액</x:t>
  </x:si>
  <x:si>
    <x:t xml:space="preserve">담 당 </x:t>
  </x:si>
  <x:si>
    <x:t>터미널 외</x:t>
  </x:si>
  <x:si>
    <x:t>윤희네한식뷔페</x:t>
  </x:si>
  <x:si>
    <x:t>뚜가리숯불갈비</x:t>
  </x:si>
  <x:si>
    <x:t>수성유통</x:t>
  </x:si>
  <x:si>
    <x:t>직영퇴직금</x:t>
  </x:si>
  <x:si>
    <x:t>트레이카바</x:t>
  </x:si>
  <x:si>
    <x:t>제일전기특판</x:t>
  </x:si>
  <x:si>
    <x:t>사무실임대료</x:t>
  </x:si>
  <x:si>
    <x:t>노트북수리</x:t>
  </x:si>
  <x:si>
    <x:t>ELP전선관</x:t>
  </x:si>
  <x:si>
    <x:t>SF3S 외</x:t>
  </x:si>
  <x:si>
    <x:t>모니터구입</x:t>
  </x:si>
  <x:si>
    <x:t>㈜아시아전관</x:t>
  </x:si>
  <x:si>
    <x:t>유도등외주</x:t>
  </x:si>
  <x:si>
    <x:t>소방시운전</x:t>
  </x:si>
  <x:si>
    <x:t>삼일유통</x:t>
  </x:si>
  <x:si>
    <x:t>반새들㉿ 외</x:t>
  </x:si>
  <x:si>
    <x:t>보안경 외</x:t>
  </x:si>
  <x:si>
    <x:t>통신맨홀</x:t>
  </x:si>
  <x:si>
    <x:t>전기,소방</x:t>
  </x:si>
  <x:si>
    <x:t>사무실관리비</x:t>
  </x:si>
  <x:si>
    <x:t>김지기외주</x:t>
  </x:si>
  <x:si>
    <x:t>태산전력㈜</x:t>
  </x:si>
  <x:si>
    <x:t>지급완료</x:t>
  </x:si>
  <x:si>
    <x:t>신한전공</x:t>
  </x:si>
  <x:si>
    <x:t>숙소보증금</x:t>
  </x:si>
  <x:si>
    <x:t>숙소중개수수료</x:t>
  </x:si>
  <x:si>
    <x:t>12월,1월</x:t>
  </x:si>
  <x:si>
    <x:t>㈜아아월드</x:t>
  </x:si>
  <x:si>
    <x:t>모래운반비</x:t>
  </x:si>
  <x:si>
    <x:t>임시전기</x:t>
  </x:si>
  <x:si>
    <x:t>계측기 검교정</x:t>
  </x:si>
  <x:si>
    <x:t>한영포함</x:t>
  </x:si>
  <x:si>
    <x:t>권기찬외</x:t>
  </x:si>
  <x:si>
    <x:t>컴피인더</x:t>
  </x:si>
  <x:si>
    <x:t>크레인사용료</x:t>
  </x:si>
  <x:si>
    <x:t>종단접속제외</x:t>
  </x:si>
  <x:si>
    <x:t>공길봉외</x:t>
  </x:si>
  <x:si>
    <x:t>2월달까지지급</x:t>
  </x:si>
  <x:si>
    <x:t>선공사분</x:t>
  </x:si>
  <x:si>
    <x:t>㈜창해라이팅</x:t>
  </x:si>
  <x:si>
    <x:t>FRP 분전반</x:t>
  </x:si>
  <x:si>
    <x:t>컴퓨터수리</x:t>
  </x:si>
  <x:si>
    <x:t>㈜태산중기</x:t>
  </x:si>
  <x:si>
    <x:t>전기공제조합외</x:t>
  </x:si>
  <x:si>
    <x:t>담소정푸드</x:t>
  </x:si>
  <x:si>
    <x:t>하이크레인</x:t>
  </x:si>
  <x:si>
    <x:t>사용전검사비</x:t>
  </x:si>
  <x:si>
    <x:t>안전화외</x:t>
  </x:si>
  <x:si>
    <x:t>김호빈외</x:t>
  </x:si>
  <x:si>
    <x:t>이종수외</x:t>
  </x:si>
  <x:si>
    <x:t>매입개방외</x:t>
  </x:si>
  <x:si>
    <x:t>피난구 유도등</x:t>
  </x:si>
  <x:si>
    <x:t>법인카드지급</x:t>
  </x:si>
  <x:si>
    <x:t>중앙에스코㈜</x:t>
  </x:si>
  <x:si>
    <x:t>BT아시바외</x:t>
  </x:si>
  <x:si>
    <x:t>승원F.S산업</x:t>
  </x:si>
  <x:si>
    <x:t>방화구획재설치</x:t>
  </x:si>
  <x:si>
    <x:t>동관단자외</x:t>
  </x:si>
  <x:si>
    <x:t>광전식감지기외</x:t>
  </x:si>
  <x:si>
    <x:t>피난구유도등외</x:t>
  </x:si>
  <x:si>
    <x:t>허재성외</x:t>
  </x:si>
  <x:si>
    <x:t>터미널KS외</x:t>
  </x:si>
  <x:si>
    <x:t>볼라드기초</x:t>
  </x:si>
  <x:si>
    <x:t>스위치박스외</x:t>
  </x:si>
  <x:si>
    <x:t>접지봉외</x:t>
  </x:si>
  <x:si>
    <x:t>조명기구</x:t>
  </x:si>
  <x:si>
    <x:t>GW16조립</x:t>
  </x:si>
  <x:si>
    <x:t>김일수외</x:t>
  </x:si>
  <x:si>
    <x:t>차동식감지기외</x:t>
  </x:si>
  <x:si>
    <x:t>난연CD외</x:t>
  </x:si>
  <x:si>
    <x:t>스피커외</x:t>
  </x:si>
  <x:si>
    <x:t>소방결선외주비</x:t>
  </x:si>
  <x:si>
    <x:t>㈜대교에이스</x:t>
  </x:si>
  <x:si>
    <x:t>중랑동부</x:t>
  </x:si>
  <x:si>
    <x:t>스피드캇타기외</x:t>
  </x:si>
  <x:si>
    <x:t>세대분전반커버</x:t>
  </x:si>
  <x:si>
    <x:t>피난구유도등</x:t>
  </x:si>
  <x:si>
    <x:t>명승렌탈</x:t>
  </x:si>
  <x:si>
    <x:t>결로판1방외</x:t>
  </x:si>
  <x:si>
    <x:t>고소작업렌탈료</x:t>
  </x:si>
  <x:si>
    <x:t>이경진외</x:t>
  </x:si>
  <x:si>
    <x:t>배수판넬</x:t>
  </x:si>
  <x:si>
    <x:t>장기원외</x:t>
  </x:si>
  <x:si>
    <x:t>안전관리자선님</x:t>
  </x:si>
  <x:si>
    <x:t>스위치1</x:t>
  </x:si>
  <x:si>
    <x:t>방진마스크외</x:t>
  </x:si>
  <x:si>
    <x:t>전기맨홀외</x:t>
  </x:si>
  <x:si>
    <x:t>무송철물</x:t>
  </x:si>
  <x:si>
    <x:t>동명소방산업</x:t>
  </x:si>
  <x:si>
    <x:t>안전관리자선임</x:t>
  </x:si>
  <x:si>
    <x:t>터미널외</x:t>
  </x:si>
  <x:si>
    <x:t>3월20일반출</x:t>
  </x:si>
  <x:si>
    <x:t>SF16조립</x:t>
  </x:si>
  <x:si>
    <x:t>라벨프린터외</x:t>
  </x:si>
  <x:si>
    <x:t>스티로폼히타외</x:t>
  </x:si>
  <x:si>
    <x:t>VCTF</x:t>
  </x:si>
  <x:si>
    <x:t>소방필증비</x:t>
  </x:si>
  <x:si>
    <x:t>박스카바</x:t>
  </x:si>
  <x:si>
    <x:t>TFR-CV외</x:t>
  </x:si>
  <x:si>
    <x:t>가스경보기</x:t>
  </x:si>
  <x:si>
    <x:t>경비용역비</x:t>
  </x:si>
  <x:si>
    <x:t>LED직부등외</x:t>
  </x:si>
  <x:si>
    <x:t>에이디캡스</x:t>
  </x:si>
  <x:si>
    <x:t>이안산업개발㈜</x:t>
  </x:si>
  <x:si>
    <x:t>DUCT외</x:t>
  </x:si>
  <x:si>
    <x:t>풀박스외</x:t>
  </x:si>
  <x:si>
    <x:t>충청건기</x:t>
  </x:si>
  <x:si>
    <x:t>홀쏘기리만외</x:t>
  </x:si>
  <x:si>
    <x:t>HFIX외</x:t>
  </x:si>
  <x:si>
    <x:t>청주건설기계</x:t>
  </x:si>
  <x:si>
    <x:t>GW16조립외</x:t>
  </x:si>
  <x:si>
    <x:t>연결BOX외</x:t>
  </x:si>
  <x:si>
    <x:t>스카치록외</x:t>
  </x:si>
  <x:si>
    <x:t>방진마스크</x:t>
  </x:si>
  <x:si>
    <x:t>마스크외</x:t>
  </x:si>
  <x:si>
    <x:t>온세작업복외</x:t>
  </x:si>
  <x:si>
    <x:t>위험테이프외</x:t>
  </x:si>
  <x:si>
    <x:t>전주철거외</x:t>
  </x:si>
  <x:si>
    <x:t>전기테이프외</x:t>
  </x:si>
  <x:si>
    <x:t>쥐꼬리톱외</x:t>
  </x:si>
  <x:si>
    <x:t>SF조립</x:t>
  </x:si>
  <x:si>
    <x:t>고관종합중기</x:t>
  </x:si>
  <x:si>
    <x:t>태성이엔지</x:t>
  </x:si>
  <x:si>
    <x:t>현성전력㈜</x:t>
  </x:si>
  <x:si>
    <x:t>미장용스펀지외</x:t>
  </x:si>
  <x:si>
    <x:t>LED조명기구</x:t>
  </x:si>
  <x:si>
    <x:t>㈜신화소방</x:t>
  </x:si>
  <x:si>
    <x:t>경량보강철C외</x:t>
  </x:si>
  <x:si>
    <x:t>안전조끼외</x:t>
  </x:si>
  <x:si>
    <x:t>용답동하자지원</x:t>
  </x:si>
  <x:si>
    <x:t>세대분전반카바</x:t>
  </x:si>
  <x:si>
    <x:t>이도비스외</x:t>
  </x:si>
  <x:si>
    <x:t>ELP전선관외</x:t>
  </x:si>
  <x:si>
    <x:t>용달화물</x:t>
  </x:si>
  <x:si>
    <x:t>㈜유진개발</x:t>
  </x:si>
  <x:si>
    <x:t>㈜우주이앤씨</x:t>
  </x:si>
  <x:si>
    <x:t>접지단자함외</x:t>
  </x:si>
  <x:si>
    <x:t>배관고정봉외</x:t>
  </x:si>
  <x:si>
    <x:t>예스카고크레인</x:t>
  </x:si>
  <x:si>
    <x:t>전자식계량기외</x:t>
  </x:si>
  <x:si>
    <x:t>에어컨설치</x:t>
  </x:si>
  <x:si>
    <x:t>감지기박스외</x:t>
  </x:si>
  <x:si>
    <x:t>HI전선관외</x:t>
  </x:si>
  <x:si>
    <x:t>SF16 조립</x:t>
  </x:si>
  <x:si>
    <x:t>면장갑외</x:t>
  </x:si>
  <x:si>
    <x:t>허만일외</x:t>
  </x:si>
  <x:si>
    <x:t>제이오공조</x:t>
  </x:si>
  <x:si>
    <x:t>PE맨홀</x:t>
  </x:si>
  <x:si>
    <x:t>PE맨홀외</x:t>
  </x:si>
  <x:si>
    <x:t>충전드릴외</x:t>
  </x:si>
  <x:si>
    <x:t>조명제어</x:t>
  </x:si>
  <x:si>
    <x:t>콘센트조립</x:t>
  </x:si>
  <x:si>
    <x:t>강희훈,김충희</x:t>
  </x:si>
  <x:si>
    <x:t>세대분전반외</x:t>
  </x:si>
  <x:si>
    <x:t>㈜설악전기</x:t>
  </x:si>
  <x:si>
    <x:t>㈜이젠파워</x:t>
  </x:si>
  <x:si>
    <x:t>㈜정성코아산업</x:t>
  </x:si>
  <x:si>
    <x:t>임화산업</x:t>
  </x:si>
  <x:si>
    <x:t>담소정에프엔비</x:t>
  </x:si>
  <x:si>
    <x:t>중계기외</x:t>
  </x:si>
  <x:si>
    <x:t>감지기외</x:t>
  </x:si>
  <x:si>
    <x:t>준공기성</x:t>
  </x:si>
  <x:si>
    <x:t>에이치엘테크</x:t>
  </x:si>
  <x:si>
    <x:t>철근콘넥타</x:t>
  </x:si>
  <x:si>
    <x:t>민성중기</x:t>
  </x:si>
  <x:si>
    <x:t>선공사비매출</x:t>
  </x:si>
  <x:si>
    <x:t>선공사비매입</x:t>
  </x:si>
  <x:si>
    <x:t>수배전반포함</x:t>
  </x:si>
  <x:si>
    <x:t>방화구획</x:t>
  </x:si>
  <x:si>
    <x:t>노무비합의금</x:t>
  </x:si>
  <x:si>
    <x:t>기초대납품</x:t>
  </x:si>
  <x:si>
    <x:t>부스덕트</x:t>
  </x:si>
  <x:si>
    <x:t>수배전반</x:t>
  </x:si>
  <x:si>
    <x:t>㈜나래젠</x:t>
  </x:si>
  <x:si>
    <x:t>코아/옹벽</x:t>
  </x:si>
  <x:si>
    <x:t>셋트앙카외</x:t>
  </x:si>
  <x:si>
    <x:t>랜공구셋트외</x:t>
  </x:si>
  <x:si>
    <x:t>㈜스택트럼</x:t>
  </x:si>
  <x:si>
    <x:t>선급금제외</x:t>
  </x:si>
  <x:si>
    <x:t>조명기구납품</x:t>
  </x:si>
  <x:si>
    <x:t>S/W 1방외</x:t>
  </x:si>
  <x:si>
    <x:t>스위치1로1구</x:t>
  </x:si>
  <x:si>
    <x:t>발신기외</x:t>
  </x:si>
  <x:si>
    <x:t>케이블포설외주</x:t>
  </x:si>
  <x:si>
    <x:t>무선통신</x:t>
  </x:si>
  <x:si>
    <x:t>가설판넬</x:t>
  </x:si>
  <x:si>
    <x:t>안전관리수수료</x:t>
  </x:si>
  <x:si>
    <x:t>안전진단비</x:t>
  </x:si>
  <x:si>
    <x:t>코아작업</x:t>
  </x:si>
  <x:si>
    <x:t>고무테이프외</x:t>
  </x:si>
  <x:si>
    <x:t>후렉시블외</x:t>
  </x:si>
  <x:si>
    <x:t>물호스외</x:t>
  </x:si>
  <x:si>
    <x:t>미니포크레인</x:t>
  </x:si>
  <x:si>
    <x:t>안전관리대행</x:t>
  </x:si>
  <x:si>
    <x:t>외주인건비</x:t>
  </x:si>
  <x:si>
    <x:t>노출콘센트1구</x:t>
  </x:si>
  <x:si>
    <x:t>성원이앤에프㈜</x:t>
  </x:si>
  <x:si>
    <x:t>사각스라브외</x:t>
  </x:si>
  <x:si>
    <x:t>통합수구외</x:t>
  </x:si>
  <x:si>
    <x:t>한일코아산업</x:t>
  </x:si>
  <x:si>
    <x:t>외선공사</x:t>
  </x:si>
  <x:si>
    <x:t>1공구선시공</x:t>
  </x:si>
  <x:si>
    <x:t>결속선외</x:t>
  </x:si>
  <x:si>
    <x:t>하자보증수수료</x:t>
  </x:si>
  <x:si>
    <x:t>MCC,분전반</x:t>
  </x:si>
  <x:si>
    <x:t>2공구선시공</x:t>
  </x:si>
  <x:si>
    <x:t>접지동봉외</x:t>
  </x:si>
  <x:si>
    <x:t>케이블타이외</x:t>
  </x:si>
  <x:si>
    <x:t>경량보강철외</x:t>
  </x:si>
  <x:si>
    <x:t>신일건설기계</x:t>
  </x:si>
  <x:si>
    <x:t>삼한건설기계</x:t>
  </x:si>
  <x:si>
    <x:t>원격검침</x:t>
  </x:si>
  <x:si>
    <x:t>반납완료</x:t>
  </x:si>
  <x:si>
    <x:t>가설판넬외</x:t>
  </x:si>
  <x:si>
    <x:t>분전반커버외</x:t>
  </x:si>
  <x:si>
    <x:t>서울보증보험</x:t>
  </x:si>
  <x:si>
    <x:t xml:space="preserve">U-BOLT </x:t>
  </x:si>
  <x:si>
    <x:t>지급완1/20</x:t>
  </x:si>
  <x:si>
    <x:t>HFBT-7C</x:t>
  </x:si>
  <x:si>
    <x:t>충전압착기외</x:t>
  </x:si>
  <x:si>
    <x:t>동진인력</x:t>
  </x:si>
  <x:si>
    <x:t>이크레더블</x:t>
  </x:si>
  <x:si>
    <x:t>근재보험료</x:t>
  </x:si>
  <x:si>
    <x:t>직결비스외</x:t>
  </x:si>
  <x:si>
    <x:t>적산비용</x:t>
  </x:si>
  <x:si>
    <x:t>2공구시공</x:t>
  </x:si>
  <x:si>
    <x:t>건국중기</x:t>
  </x:si>
  <x:si>
    <x:t>도림푸드</x:t>
  </x:si>
  <x:si>
    <x:t>영림콘테이너</x:t>
  </x:si>
  <x:si>
    <x:t>남양건기</x:t>
  </x:si>
  <x:si>
    <x:t>이종수외3명</x:t>
  </x:si>
  <x:si>
    <x:t>전기차충전설비</x:t>
  </x:si>
  <x:si>
    <x:t>철근콘넥타외</x:t>
  </x:si>
  <x:si>
    <x:t>조성훈외</x:t>
  </x:si>
  <x:si>
    <x:t>위험표지판외</x:t>
  </x:si>
  <x:si>
    <x:t>전기적산</x:t>
  </x:si>
  <x:si>
    <x:t>1,2공구</x:t>
  </x:si>
  <x:si>
    <x:t>삼흥환경건설㈜</x:t>
  </x:si>
  <x:si>
    <x:t>청주-&gt;청라</x:t>
  </x:si>
  <x:si>
    <x:t>컨테이너운반비</x:t>
  </x:si>
  <x:si>
    <x:t>WOA나동선외</x:t>
  </x:si>
  <x:si>
    <x:t>거실통로유도등</x:t>
  </x:si>
  <x:si>
    <x:t>청소용역비</x:t>
  </x:si>
  <x:si>
    <x:t>안전진단수수료</x:t>
  </x:si>
  <x:si>
    <x:t>지급완1/4</x:t>
  </x:si>
  <x:si>
    <x:t>운송비(변대)</x:t>
  </x:si>
  <x:si>
    <x:t>경량보강철물외</x:t>
  </x:si>
  <x:si>
    <x:t>지급완1/06</x:t>
  </x:si>
  <x:si>
    <x:t>시스템박스</x:t>
  </x:si>
  <x:si>
    <x:t>홍진작업복외</x:t>
  </x:si>
  <x:si>
    <x:t>경량보강철</x:t>
  </x:si>
  <x:si>
    <x:t>지급완1/25</x:t>
  </x:si>
  <x:si>
    <x:t>안전모걸이대</x:t>
  </x:si>
  <x:si>
    <x:t>인써트PVC외</x:t>
  </x:si>
  <x:si>
    <x:t>청테이프외</x:t>
  </x:si>
  <x:si>
    <x:t>지급완1/7</x:t>
  </x:si>
  <x:si>
    <x:t>㈜대상세이프티</x:t>
  </x:si>
  <x:si>
    <x:t>샘물유통</x:t>
  </x:si>
  <x:si>
    <x:t>선급금공제</x:t>
  </x:si>
  <x:si>
    <x:t>강제전선관외</x:t>
  </x:si>
  <x:si>
    <x:t>팔각박스외</x:t>
  </x:si>
  <x:si>
    <x:t>허만길외</x:t>
  </x:si>
  <x:si>
    <x:t>오토캐든</x:t>
  </x:si>
  <x:si>
    <x:t>대성카코크레인</x:t>
  </x:si>
  <x:si>
    <x:t>캐노피천막외</x:t>
  </x:si>
  <x:si>
    <x:t>법인카드</x:t>
  </x:si>
  <x:si>
    <x:t>한식뷔페</x:t>
  </x:si>
  <x:si>
    <x:t>수막처리동봉외</x:t>
  </x:si>
  <x:si>
    <x:t>조원철강㈜</x:t>
  </x:si>
  <x:si>
    <x:t>컴퓨터1대구입</x:t>
  </x:si>
  <x:si>
    <x:t>신호수교육</x:t>
  </x:si>
  <x:si>
    <x:t>현금사용</x:t>
  </x:si>
  <x:si>
    <x:t>㈜원영이엔지</x:t>
  </x:si>
  <x:si>
    <x:t>전자싸이렌외</x:t>
  </x:si>
  <x:si>
    <x:t>㈜하나건설기계</x:t>
  </x:si>
  <x:si>
    <x:t>지급완1/15</x:t>
  </x:si>
  <x:si>
    <x:t>명함(3인)</x:t>
  </x:si>
  <x:si>
    <x:t>스텝기리외</x:t>
  </x:si>
  <x:si>
    <x:t>한일개발</x:t>
  </x:si>
  <x:si>
    <x:t>3/10지급완</x:t>
  </x:si>
  <x:si>
    <x:t>한솔유통</x:t>
  </x:si>
  <x:si>
    <x:t>㈜퍼스트넷</x:t>
  </x:si>
  <x:si>
    <x:t>서광조명</x:t>
  </x:si>
  <x:si>
    <x:t>안전장화외</x:t>
  </x:si>
  <x:si>
    <x:t>21년01월</x:t>
  </x:si>
  <x:si>
    <x:t>엔에프대광</x:t>
  </x:si>
  <x:si>
    <x:t>복사용지</x:t>
  </x:si>
  <x:si>
    <x:t>선급금정리</x:t>
  </x:si>
  <x:si>
    <x:t>계량기함외</x:t>
  </x:si>
  <x:si>
    <x:t>황사마스크</x:t>
  </x:si>
  <x:si>
    <x:t>소방노무비</x:t>
  </x:si>
  <x:si>
    <x:t>㈜태림조명</x:t>
  </x:si>
  <x:si>
    <x:t>3/05지급완</x:t>
  </x:si>
  <x:si>
    <x:t>엄마손출장부페</x:t>
  </x:si>
  <x:si>
    <x:t>효성티엔에스㈜</x:t>
  </x:si>
  <x:si>
    <x:t>시운전및테스트</x:t>
  </x:si>
  <x:si>
    <x:t>21년03월</x:t>
  </x:si>
  <x:si>
    <x:t>홍진전기발행</x:t>
  </x:si>
  <x:si>
    <x:t>법인카드 납부</x:t>
  </x:si>
  <x:si>
    <x:t>4회기성</x:t>
  </x:si>
  <x:si>
    <x:t>방송장비</x:t>
  </x:si>
  <x:si>
    <x:t>㈜고려전기</x:t>
  </x:si>
  <x:si>
    <x:t>난연 CD외</x:t>
  </x:si>
  <x:si>
    <x:t>컨테이너하차</x:t>
  </x:si>
  <x:si>
    <x:t>외선공사접속</x:t>
  </x:si>
  <x:si>
    <x:t>안전모걸이대외</x:t>
  </x:si>
  <x:si>
    <x:t>21년02월</x:t>
  </x:si>
  <x:si>
    <x:t>전기공사협회</x:t>
  </x:si>
  <x:si>
    <x:t>가야크레인</x:t>
  </x:si>
  <x:si>
    <x:t>중식식대</x:t>
  </x:si>
  <x:si>
    <x:t>요비선외</x:t>
  </x:si>
  <x:si>
    <x:t>㈜천남전기</x:t>
  </x:si>
  <x:si>
    <x:t>고양한식부페</x:t>
  </x:si>
  <x:si>
    <x:t>황제건설중기</x:t>
  </x:si>
  <x:si>
    <x:t>21년04월</x:t>
  </x:si>
  <x:si>
    <x:t>림스케이블㈜</x:t>
  </x:si>
  <x:si>
    <x:t>원진기초맨홀</x:t>
  </x:si>
  <x:si>
    <x:t>SF16외</x:t>
  </x:si>
  <x:si>
    <x:t>가설분전반</x:t>
  </x:si>
  <x:si>
    <x:t>발신기함외</x:t>
  </x:si>
  <x:si>
    <x:t>건설공제조합</x:t>
  </x:si>
  <x:si>
    <x:t>골조(1팀)</x:t>
  </x:si>
  <x:si>
    <x:t>골조(2팀)</x:t>
  </x:si>
  <x:si>
    <x:t>지급수수료1</x:t>
  </x:si>
  <x:si>
    <x:t>전자수입인지</x:t>
  </x:si>
  <x:si>
    <x:t>㈜뉴이앤텍</x:t>
  </x:si>
  <x:si>
    <x:t>굴삭기임대료</x:t>
  </x:si>
  <x:si>
    <x:t>준공완료</x:t>
  </x:si>
  <x:si>
    <x:t>무전기외</x:t>
  </x:si>
  <x:si>
    <x:t>김정용외</x:t>
  </x:si>
  <x:si>
    <x:t>외주비차액</x:t>
  </x:si>
  <x:si>
    <x:t>㈜에이온전기</x:t>
  </x:si>
  <x:si>
    <x:t>기초&amp;맨홀</x:t>
  </x:si>
  <x:si>
    <x:t>㈜디오건설</x:t>
  </x:si>
  <x:si>
    <x:t>PE전선관외</x:t>
  </x:si>
  <x:si>
    <x:t>가설콘센트함</x:t>
  </x:si>
  <x:si>
    <x:t>이창섭외</x:t>
  </x:si>
  <x:si>
    <x:t>백텔철거산업</x:t>
  </x:si>
  <x:si>
    <x:t>바이메탈홀쏘외</x:t>
  </x:si>
  <x:si>
    <x:t>할로코아</x:t>
  </x:si>
  <x:si>
    <x:t>세광개발중기</x:t>
  </x:si>
  <x:si>
    <x:t>공일건설중기</x:t>
  </x:si>
  <x:si>
    <x:t>입선(1팀)</x:t>
  </x:si>
  <x:si>
    <x:t>고소렌탈료</x:t>
  </x:si>
  <x:si>
    <x:t>롱스리브외</x:t>
  </x:si>
  <x:si>
    <x:t>P.BOX외</x:t>
  </x:si>
  <x:si>
    <x:t>현금지출증빙</x:t>
  </x:si>
  <x:si>
    <x:t>2공구정산</x:t>
  </x:si>
  <x:si>
    <x:t>식대(조식)</x:t>
  </x:si>
  <x:si>
    <x:t>난연 카프링외</x:t>
  </x:si>
  <x:si>
    <x:t>삼성냉열기</x:t>
  </x:si>
  <x:si>
    <x:t>에어컨 설치</x:t>
  </x:si>
  <x:si>
    <x:t>3*6 1대</x:t>
  </x:si>
  <x:si>
    <x:t>㈜미성산전</x:t>
  </x:si>
  <x:si>
    <x:t>윤의네한식뷔페</x:t>
  </x:si>
  <x:si>
    <x:t>광성중기</x:t>
  </x:si>
  <x:si>
    <x:t>5/13지급</x:t>
  </x:si>
  <x:si>
    <x:t>나이스디앤알㈜</x:t>
  </x:si>
  <x:si>
    <x:t>관로자재</x:t>
  </x:si>
  <x:si>
    <x:t>제이티산업</x:t>
  </x:si>
  <x:si>
    <x:t>21년05월</x:t>
  </x:si>
  <x:si>
    <x:t>작업조끼외</x:t>
  </x:si>
  <x:si>
    <x:t>절단석외</x:t>
  </x:si>
  <x:si>
    <x:t>작업복외</x:t>
  </x:si>
  <x:si>
    <x:t>보강철물외</x:t>
  </x:si>
  <x:si>
    <x:t>효성티앤에스㈜</x:t>
  </x:si>
  <x:si>
    <x:t>전자계약수수료</x:t>
  </x:si>
  <x:si>
    <x:t>철그콘넥타외</x:t>
  </x:si>
  <x:si>
    <x:t>알루미늄봉외</x:t>
  </x:si>
  <x:si>
    <x:t>지하주차장판넬</x:t>
  </x:si>
  <x:si>
    <x:t>컨테이너임대료</x:t>
  </x:si>
  <x:si>
    <x:t>태윤정보통신㈜</x:t>
  </x:si>
  <x:si>
    <x:t>CCTV</x:t>
  </x:si>
  <x:si>
    <x:t>조적써포트외</x:t>
  </x:si>
  <x:si>
    <x:t>수입인지 환급</x:t>
  </x:si>
  <x:si>
    <x:t>21년06월</x:t>
  </x:si>
  <x:si>
    <x:t>마커스코리아</x:t>
  </x:si>
  <x:si>
    <x:t>6/24완</x:t>
  </x:si>
  <x:si>
    <x:t>㈜대우건설</x:t>
  </x:si>
  <x:si>
    <x:t>4각박스외</x:t>
  </x:si>
  <x:si>
    <x:t>근재보증료</x:t>
  </x:si>
  <x:si>
    <x:t>6/25완</x:t>
  </x:si>
  <x:si>
    <x:t>서진유통</x:t>
  </x:si>
  <x:si>
    <x:t>가로등분전반</x:t>
  </x:si>
  <x:si>
    <x:t>홍진전기</x:t>
  </x:si>
  <x:si>
    <x:t>분말소화기외</x:t>
  </x:si>
  <x:si>
    <x:t>금강컨테이너</x:t>
  </x:si>
  <x:si>
    <x:t>㈜큐넥스</x:t>
  </x:si>
  <x:si>
    <x:t>버미글라스</x:t>
  </x:si>
  <x:si>
    <x:t>경기가설재㈜</x:t>
  </x:si>
  <x:si>
    <x:t>최창수외</x:t>
  </x:si>
  <x:si>
    <x:t>단관파이프외</x:t>
  </x:si>
  <x:si>
    <x:t>주차차단기</x:t>
  </x:si>
  <x:si>
    <x:t>전자수입인지대</x:t>
  </x:si>
  <x:si>
    <x:t>신화산업전기㈜</x:t>
  </x:si>
  <x:si>
    <x:t>유진생수유통</x:t>
  </x:si>
  <x:si>
    <x:t>유원종합안전</x:t>
  </x:si>
  <x:si>
    <x:t>㈜고려환경</x:t>
  </x:si>
  <x:si>
    <x:t>pp마대외</x:t>
  </x:si>
  <x:si>
    <x:t>가설재반출</x:t>
  </x:si>
  <x:si>
    <x:t>노출콘센트외</x:t>
  </x:si>
  <x:si>
    <x:t>㈜가보테크</x:t>
  </x:si>
  <x:si>
    <x:t>㈜아이엠테크</x:t>
  </x:si>
  <x:si>
    <x:t>계측기검교정</x:t>
  </x:si>
  <x:si>
    <x:t>숙소+현장</x:t>
  </x:si>
  <x:si>
    <x:t>전산볼트외</x:t>
  </x:si>
  <x:si>
    <x:t>㈜에스디</x:t>
  </x:si>
  <x:si>
    <x:t>도림중기</x:t>
  </x:si>
  <x:si>
    <x:t>7/13지급완</x:t>
  </x:si>
  <x:si>
    <x:t>통신자재</x:t>
  </x:si>
  <x:si>
    <x:t>8/23완</x:t>
  </x:si>
  <x:si>
    <x:t>한신조명㈜</x:t>
  </x:si>
  <x:si>
    <x:t>안전각반외</x:t>
  </x:si>
  <x:si>
    <x:t>LED램프외</x:t>
  </x:si>
  <x:si>
    <x:t>㈜프린스이엔씨</x:t>
  </x:si>
  <x:si>
    <x:t>불티방지커버외</x:t>
  </x:si>
  <x:si>
    <x:t>트레(허만일)</x:t>
  </x:si>
  <x:si>
    <x:t>㈜세명이엔씨</x:t>
  </x:si>
  <x:si>
    <x:t>소방준공용역비</x:t>
  </x:si>
  <x:si>
    <x:t>천막(청색)외</x:t>
  </x:si>
  <x:si>
    <x:t>박기범외</x:t>
  </x:si>
  <x:si>
    <x:t>8월부터발생</x:t>
  </x:si>
  <x:si>
    <x:t>온세+마커스분</x:t>
  </x:si>
  <x:si>
    <x:t>코어건식</x:t>
  </x:si>
  <x:si>
    <x:t>에어컨교체</x:t>
  </x:si>
  <x:si>
    <x:t>전산볼트</x:t>
  </x:si>
  <x:si>
    <x:t>온세+한일</x:t>
  </x:si>
  <x:si>
    <x:t>테스타기외</x:t>
  </x:si>
  <x:si>
    <x:t>중앙알엔티㈜</x:t>
  </x:si>
  <x:si>
    <x:t>피뢰침폴</x:t>
  </x:si>
  <x:si>
    <x:t>㈜제이아이앤티</x:t>
  </x:si>
  <x:si>
    <x:t>굴삭기 임대료</x:t>
  </x:si>
  <x:si>
    <x:t>드로잉웍스</x:t>
  </x:si>
  <x:si>
    <x:t>동남추가분</x:t>
  </x:si>
  <x:si>
    <x:t>황금식당</x:t>
  </x:si>
  <x:si>
    <x:t>단독발기기함</x:t>
  </x:si>
  <x:si>
    <x:t>풀박스외37건</x:t>
  </x:si>
  <x:si>
    <x:t>스틸파이프외</x:t>
  </x:si>
  <x:si>
    <x:t>단관파이프</x:t>
  </x:si>
  <x:si>
    <x:t>하나지게차</x:t>
  </x:si>
  <x:si>
    <x:t>포설(전종남)</x:t>
  </x:si>
  <x:si>
    <x:t>맨홀,기초</x:t>
  </x:si>
  <x:si>
    <x:t>지급완(홍진)</x:t>
  </x:si>
  <x:si>
    <x:t>탑동+동남추가</x:t>
  </x:si>
  <x:si>
    <x:t>콘센트함</x:t>
  </x:si>
  <x:si>
    <x:t>곽선섭외</x:t>
  </x:si>
  <x:si>
    <x:t>화물운반비</x:t>
  </x:si>
  <x:si>
    <x:t>김정훈외</x:t>
  </x:si>
  <x:si>
    <x:t>홀쏘외 5건</x:t>
  </x:si>
  <x:si>
    <x:t>전자계약결재</x:t>
  </x:si>
  <x:si>
    <x:t>전관방송설비</x:t>
  </x:si>
  <x:si>
    <x:t>도명이엔씨㈜</x:t>
  </x:si>
  <x:si>
    <x:t>LED등기구</x:t>
  </x:si>
  <x:si>
    <x:t>외선접속재</x:t>
  </x:si>
  <x:si>
    <x:t>ACF-IX외</x:t>
  </x:si>
  <x:si>
    <x:t>안전조끼</x:t>
  </x:si>
  <x:si>
    <x:t>디에이치물류</x:t>
  </x:si>
  <x:si>
    <x:t>하나중걔</x:t>
  </x:si>
  <x:si>
    <x:t>앵글스토어포함</x:t>
  </x:si>
  <x:si>
    <x:t>충전임팩외1건</x:t>
  </x:si>
  <x:si>
    <x:t>사각박스외</x:t>
  </x:si>
  <x:si>
    <x:t>동관터미널외</x:t>
  </x:si>
  <x:si>
    <x:t>스카치 록</x:t>
  </x:si>
  <x:si>
    <x:t>현대코아</x:t>
  </x:si>
  <x:si>
    <x:t>컷팅작업</x:t>
  </x:si>
  <x:si>
    <x:t>감리용역</x:t>
  </x:si>
  <x:si>
    <x:t>양촌기와</x:t>
  </x:si>
  <x:si>
    <x:t>영파워플랜트</x:t>
  </x:si>
  <x:si>
    <x:t>부일철강</x:t>
  </x:si>
  <x:si>
    <x:t>다래상사포함</x:t>
  </x:si>
  <x:si>
    <x:t>명성건기</x:t>
  </x:si>
  <x:si>
    <x:t>캡스포함</x:t>
  </x:si>
  <x:si>
    <x:t>유성종외</x:t>
  </x:si>
  <x:si>
    <x:t>대원밴더분</x:t>
  </x:si>
  <x:si>
    <x:t>가로등기초</x:t>
  </x:si>
  <x:si>
    <x:t>㈜대호종합중기</x:t>
  </x:si>
  <x:si>
    <x:t>철판가공비</x:t>
  </x:si>
  <x:si>
    <x:t>콘트롤러</x:t>
  </x:si>
  <x:si>
    <x:t>선진건설㈜</x:t>
  </x:si>
  <x:si>
    <x:t>보탬이엔지</x:t>
  </x:si>
  <x:si>
    <x:t>특수검진비용</x:t>
  </x:si>
  <x:si>
    <x:t>구희수외</x:t>
  </x:si>
  <x:si>
    <x:t>태강운송</x:t>
  </x:si>
  <x:si>
    <x:t>평카바 8각외</x:t>
  </x:si>
  <x:si>
    <x:t>장애인사용중</x:t>
  </x:si>
  <x:si>
    <x:t>본공사분</x:t>
  </x:si>
  <x:si>
    <x:t>맨홀기초</x:t>
  </x:si>
  <x:si>
    <x:t>화물운송비</x:t>
  </x:si>
  <x:si>
    <x:t>연천지원</x:t>
  </x:si>
  <x:si>
    <x:t>GW22외</x:t>
  </x:si>
  <x:si>
    <x:t>9/06완</x:t>
  </x:si>
  <x:si>
    <x:t>라이트스타㈜</x:t>
  </x:si>
  <x:si>
    <x:t>청룡 스카이차</x:t>
  </x:si>
  <x:si>
    <x:t>세금계산서</x:t>
  </x:si>
  <x:si>
    <x:t>제일방재㈜</x:t>
  </x:si>
  <x:si>
    <x:t>㈜파주비앤알</x:t>
  </x:si>
  <x:si>
    <x:t>스카이 임대료</x:t>
  </x:si>
  <x:si>
    <x:t>먹물大외</x:t>
  </x:si>
  <x:si>
    <x:t>한일직영인건비</x:t>
  </x:si>
  <x:si>
    <x:t>수기세금계산서</x:t>
  </x:si>
  <x:si>
    <x:t>Y-터미널외</x:t>
  </x:si>
  <x:si>
    <x:t>현대ELB외</x:t>
  </x:si>
  <x:si>
    <x:t>페인트마카외</x:t>
  </x:si>
  <x:si>
    <x:t>방폭자재</x:t>
  </x:si>
  <x:si>
    <x:t>삽입형관로구</x:t>
  </x:si>
  <x:si>
    <x:t>후렉시블셋트</x:t>
  </x:si>
  <x:si>
    <x:t>승원FS산업</x:t>
  </x:si>
  <x:si>
    <x:t>우마사다리외</x:t>
  </x:si>
  <x:si>
    <x:t>담은 한식뷔페</x:t>
  </x:si>
  <x:si>
    <x:t>수동발신기외</x:t>
  </x:si>
  <x:si>
    <x:t>공가스카이</x:t>
  </x:si>
  <x:si>
    <x:t>써니환경</x:t>
  </x:si>
  <x:si>
    <x:t>케이블포설</x:t>
  </x:si>
  <x:si>
    <x:t>피뢰침기초</x:t>
  </x:si>
  <x:si>
    <x:t>멀티닥트외</x:t>
  </x:si>
  <x:si>
    <x:t>준공정산</x:t>
  </x:si>
  <x:si>
    <x:t>김포지원치료비</x:t>
  </x:si>
  <x:si>
    <x:t>㈜아이월드</x:t>
  </x:si>
  <x:si>
    <x:t>새나라운수</x:t>
  </x:si>
  <x:si>
    <x:t>10/20지급</x:t>
  </x:si>
  <x:si>
    <x:t>연 엔지니어링</x:t>
  </x:si>
  <x:si>
    <x:t>청양종합중기</x:t>
  </x:si>
  <x:si>
    <x:t>이도피스외</x:t>
  </x:si>
  <x:si>
    <x:t>유새들16외</x:t>
  </x:si>
  <x:si>
    <x:t>소방준공비</x:t>
  </x:si>
  <x:si>
    <x:t>방수소켓외</x:t>
  </x:si>
  <x:si>
    <x:t>가스타정기</x:t>
  </x:si>
  <x:si>
    <x:t>반새들외</x:t>
  </x:si>
  <x:si>
    <x:t>멀티닥트설치비</x:t>
  </x:si>
  <x:si>
    <x:t>시카고밴다</x:t>
  </x:si>
  <x:si>
    <x:t>에이스스카이</x:t>
  </x:si>
  <x:si>
    <x:t>외주용역</x:t>
  </x:si>
  <x:si>
    <x:t>외선설치비</x:t>
  </x:si>
  <x:si>
    <x:t>이안지엘에스</x:t>
  </x:si>
  <x:si>
    <x:t>거성종합중기</x:t>
  </x:si>
  <x:si>
    <x:t>신라구내식당</x:t>
  </x:si>
  <x:si>
    <x:t>10/27지급</x:t>
  </x:si>
  <x:si>
    <x:t>하자보증발급료</x:t>
  </x:si>
  <x:si>
    <x:t>비계해체비</x:t>
  </x:si>
  <x:si>
    <x:t>압착터미널외</x:t>
  </x:si>
  <x:si>
    <x:t>충전함마수리외</x:t>
  </x:si>
  <x:si>
    <x:t>낙찰율적용</x:t>
  </x:si>
  <x:si>
    <x:t>10/08지급</x:t>
  </x:si>
  <x:si>
    <x:t>가로등부속</x:t>
  </x:si>
  <x:si>
    <x:t>㈜경기가설재</x:t>
  </x:si>
  <x:si>
    <x:t>컷팅및코아작업</x:t>
  </x:si>
  <x:si>
    <x:t>KBF계약건</x:t>
  </x:si>
  <x:si>
    <x:t>윤용노외</x:t>
  </x:si>
  <x:si>
    <x:t>크레파스외</x:t>
  </x:si>
  <x:si>
    <x:t>사용전검사2차</x:t>
  </x:si>
  <x:si>
    <x:t>목업4세대</x:t>
  </x:si>
  <x:si>
    <x:t>조,석식대</x:t>
  </x:si>
  <x:si>
    <x:t>안전휀스외</x:t>
  </x:si>
  <x:si>
    <x:t>비계운반비</x:t>
  </x:si>
  <x:si>
    <x:t>㈜선이엔지</x:t>
  </x:si>
  <x:si>
    <x:t>소방준공도면</x:t>
  </x:si>
  <x:si>
    <x:t>재실감지센서외</x:t>
  </x:si>
  <x:si>
    <x:t>조형석외</x:t>
  </x:si>
  <x:si>
    <x:t>종단접속단말</x:t>
  </x:si>
  <x:si>
    <x:t>㈜퓨비스</x:t>
  </x:si>
  <x:si>
    <x:t>파킹클라우드</x:t>
  </x:si>
  <x:si>
    <x:t>하이코아컷팅</x:t>
  </x:si>
  <x:si>
    <x:t>주차관제</x:t>
  </x:si>
  <x:si>
    <x:t>에이스종합안전</x:t>
  </x:si>
  <x:si>
    <x:t>1월로 이월</x:t>
  </x:si>
  <x:si>
    <x:t>㈜이엔에스</x:t>
  </x:si>
  <x:si>
    <x:t>코아드릴수리외</x:t>
  </x:si>
  <x:si>
    <x:t>취득세 분담금</x:t>
  </x:si>
  <x:si>
    <x:t>중앙알앤티㈜</x:t>
  </x:si>
  <x:si>
    <x:t>전기요금</x:t>
  </x:si>
  <x:si>
    <x:t>방범CCTV</x:t>
  </x:si>
  <x:si>
    <x:t>G형행가외</x:t>
  </x:si>
  <x:si>
    <x:t>삼육오스카이</x:t>
  </x:si>
  <x:si>
    <x:t>신내하자</x:t>
  </x:si>
  <x:si>
    <x:t>내진앙카</x:t>
  </x:si>
  <x:si>
    <x:t>HI카프링외</x:t>
  </x:si>
  <x:si>
    <x:t>시스템찬넬외</x:t>
  </x:si>
  <x:si>
    <x:t>가설포함</x:t>
  </x:si>
  <x:si>
    <x:t>NFB외</x:t>
  </x:si>
  <x:si>
    <x:t>㈜진영에스텍</x:t>
  </x:si>
  <x:si>
    <x:t>중앙알앤티</x:t>
  </x:si>
  <x:si>
    <x:t>방송자재</x:t>
  </x:si>
  <x:si>
    <x:t>본공사+KBF</x:t>
  </x:si>
  <x:si>
    <x:t>고무바킹외</x:t>
  </x:si>
  <x:si>
    <x:t>노출콘센트</x:t>
  </x:si>
  <x:si>
    <x:t>출장경비</x:t>
  </x:si>
  <x:si>
    <x:t>4개월분</x:t>
  </x:si>
  <x:si>
    <x:t>기초앙카</x:t>
  </x:si>
  <x:si>
    <x:t>상당구청</x:t>
  </x:si>
  <x:si>
    <x:t>컨테이너취득세</x:t>
  </x:si>
  <x:si>
    <x:t>12/31완납</x:t>
  </x:si>
  <x:si>
    <x:t>석고타공</x:t>
  </x:si>
  <x:si>
    <x:t>준시큐리티</x:t>
  </x:si>
  <x:si>
    <x:t>연천-&gt;당진</x:t>
  </x:si>
  <x:si>
    <x:t>스카이사용료</x:t>
  </x:si>
  <x:si>
    <x:t>트레이슬리브</x:t>
  </x:si>
  <x:si>
    <x:t>상부브라켓외</x:t>
  </x:si>
  <x:si>
    <x:t>김포지원</x:t>
  </x:si>
  <x:si>
    <x:t>안전관리대행료</x:t>
  </x:si>
  <x:si>
    <x:t>팔각스라브외</x:t>
  </x:si>
  <x:si>
    <x:t>씨유테크</x:t>
  </x:si>
  <x:si>
    <x:t>콘센트커버</x:t>
  </x:si>
  <x:si>
    <x:t>동봉외3건</x:t>
  </x:si>
  <x:si>
    <x:t>황금함밭식당</x:t>
  </x:si>
  <x:si>
    <x:t>80%청구</x:t>
  </x:si>
  <x:si>
    <x:t>태현유통</x:t>
  </x:si>
  <x:si>
    <x:t>SF 16</x:t>
  </x:si>
  <x:si>
    <x:t>메리츠캐피탈㈜</x:t>
  </x:si>
  <x:si>
    <x:t>㈜진성이티에스</x:t>
  </x:si>
  <x:si>
    <x:t>청테이프외4건</x:t>
  </x:si>
  <x:si>
    <x:t>15일지원</x:t>
  </x:si>
  <x:si>
    <x:t>ED자동연결</x:t>
  </x:si>
  <x:si>
    <x:t>가로등추가분</x:t>
  </x:si>
  <x:si>
    <x:t>반새들16외</x:t>
  </x:si>
  <x:si>
    <x:t>선공사 정산분</x:t>
  </x:si>
  <x:si>
    <x:t>평커버 공용</x:t>
  </x:si>
  <x:si>
    <x:t>황금한밭식당</x:t>
  </x:si>
  <x:si>
    <x:t>사각조적외</x:t>
  </x:si>
  <x:si>
    <x:t>층간포설기</x:t>
  </x:si>
  <x:si>
    <x:t>세금계산서포함</x:t>
  </x:si>
  <x:si>
    <x:t>케이블(외주)</x:t>
  </x:si>
  <x:si>
    <x:t>접지봉외14건</x:t>
  </x:si>
  <x:si>
    <x:t>SF 16외</x:t>
  </x:si>
  <x:si>
    <x:t>ED결로박스외</x:t>
  </x:si>
  <x:si>
    <x:t>시스템찬넬</x:t>
  </x:si>
  <x:si>
    <x:t>미래종합중기</x:t>
  </x:si>
  <x:si>
    <x:t>크레인 임대료</x:t>
  </x:si>
  <x:si>
    <x:t>히트트레이싱</x:t>
  </x:si>
  <x:si>
    <x:t>면장갑외11건</x:t>
  </x:si>
  <x:si>
    <x:t>㈜하나지게차</x:t>
  </x:si>
  <x:si>
    <x:t>직영인건비</x:t>
  </x:si>
  <x:si>
    <x:t>전기+소방전기</x:t>
  </x:si>
  <x:si>
    <x:t>온세이엔씨</x:t>
  </x:si>
  <x:si>
    <x:t>명인OA</x:t>
  </x:si>
  <x:si>
    <x:t>한일건기</x:t>
  </x:si>
  <x:si>
    <x:t>난연CD</x:t>
  </x:si>
  <x:si>
    <x:t>세종힐데스하임</x:t>
  </x:si>
  <x:si>
    <x:t>충주힐데스하임</x:t>
  </x:si>
  <x:si>
    <x:t>효성병원</x:t>
  </x:si>
  <x:si>
    <x:t>PVC박스</x:t>
  </x:si>
  <x:si>
    <x:t>전선운반</x:t>
  </x:si>
  <x:si>
    <x:t>서울전선</x:t>
  </x:si>
  <x:si>
    <x:t>우본산업</x:t>
  </x:si>
  <x:si>
    <x:t>총투입비</x:t>
  </x:si>
  <x:si>
    <x:t>HFIX</x:t>
  </x:si>
  <x:si>
    <x:t>광명전상</x:t>
  </x:si>
  <x:si>
    <x:t>중앙지게차</x:t>
  </x:si>
  <x:si>
    <x:t>안전관리비</x:t>
  </x:si>
  <x:si>
    <x:t>복사기임대료</x:t>
  </x:si>
  <x:si>
    <x:t>대한케이블</x:t>
  </x:si>
  <x:si>
    <x:t>청송건설기계</x:t>
  </x:si>
  <x:si>
    <x:t>태형이엠씨</x:t>
  </x:si>
  <x:si>
    <x:t>세종생수</x:t>
  </x:si>
  <x:si>
    <x:t>03W*5일</x:t>
  </x:si>
  <x:si>
    <x:t>희상케이블</x:t>
  </x:si>
  <x:si>
    <x:t>광명이엔지</x:t>
  </x:si>
  <x:si>
    <x:t>FR-8케이블</x:t>
  </x:si>
  <x:si>
    <x:t>배선기구</x:t>
  </x:si>
  <x:si>
    <x:t>도도산전</x:t>
  </x:si>
  <x:si>
    <x:t>겸용중앙콘센트</x:t>
  </x:si>
  <x:si>
    <x:t>대성건설기계</x:t>
  </x:si>
  <x:si>
    <x:t>동봉,피뢰침외</x:t>
  </x:si>
  <x:si>
    <x:t>세대분전반</x:t>
  </x:si>
  <x:si>
    <x:t>조원철강</x:t>
  </x:si>
  <x:si>
    <x:t>강제전선관</x:t>
  </x:si>
  <x:si>
    <x:t>임대료07월분</x:t>
  </x:si>
  <x:si>
    <x:t>숙소관리비</x:t>
  </x:si>
  <x:si>
    <x:t>03W*9일</x:t>
  </x:si>
  <x:si>
    <x:t>PIPE행가외</x:t>
  </x:si>
  <x:si>
    <x:t>영진종합전기</x:t>
  </x:si>
  <x:si>
    <x:t>외주(계측장비금액:\43,280,132)제외</x:t>
  </x:si>
  <x:si>
    <x:t>HP HI-TEC STRAIGHT, PC 외</x:t>
  </x:si>
  <x:si>
    <x:t xml:space="preserve"> HP BOX CONNECTOR, PC 외 </x:t>
  </x:si>
  <x:si>
    <x:t>조명기구 선급금포함
(\153,890,000)</x:t>
  </x:si>
  <x:si>
    <x:t>태양광,분전반 선급금포함:
\52,790,000</x:t>
  </x:si>
  <x:si>
    <x:t>현장별 (19년 11월) 투입비 집계표</x:t>
  </x:si>
  <x:si>
    <x:t>현장별 (19년 10월) 투입비 집계표</x:t>
  </x:si>
  <x:si>
    <x:t>현장별 19년 05월 투입비 예상금액</x:t>
  </x:si>
  <x:si>
    <x:t>현장별 18년 10월 투입비 예상금액</x:t>
  </x:si>
  <x:si>
    <x:t>현장별 (19년 09월) 투입비 집계표</x:t>
  </x:si>
  <x:si>
    <x:t>컨테이너임차료(10.25~11.24)</x:t>
  </x:si>
  <x:si>
    <x:t>컨테이너임차료(11.25~12.24)</x:t>
  </x:si>
  <x:si>
    <x:t xml:space="preserve"> THREADED ROD, EG 외 </x:t>
  </x:si>
  <x:si>
    <x:t>컨테이너임차료(11.29~02.28)</x:t>
  </x:si>
  <x:si>
    <x:t>현장별 (19년 12월) 투입비 집계표</x:t>
  </x:si>
  <x:si>
    <x:t>현장별 19년 12월 투입비 세부금액</x:t>
  </x:si>
  <x:si>
    <x:t>현장별 18년 08월 투입비 예상금액</x:t>
  </x:si>
  <x:si>
    <x:t>현장별 19년 08월 투입비 세부금액</x:t>
  </x:si>
  <x:si>
    <x:t>컨테이너임차료(12.25~01.24)</x:t>
  </x:si>
  <x:si>
    <x:t>현장별 19년 04월 투입비 예상금액</x:t>
  </x:si>
  <x:si>
    <x:t>현장별 19년 10월 투입비 세부금액</x:t>
  </x:si>
  <x:si>
    <x:t>현장별 18년 07월 투입비 예상금액</x:t>
  </x:si>
  <x:si>
    <x:t>현장별 18년 12월 투입비 예상금액</x:t>
  </x:si>
  <x:si>
    <x:t>현장별 18년 09월 투입비 예상금액</x:t>
  </x:si>
  <x:si>
    <x:t>현장별 20년 01월 투입비 세부금액</x:t>
  </x:si>
  <x:si>
    <x:t>현장별 (19년 08월) 투입비 집계표</x:t>
  </x:si>
  <x:si>
    <x:t>현장별 19년 01월 투입비 예상금액</x:t>
  </x:si>
  <x:si>
    <x:t>현장별 19년 03월 투입비 예상금액</x:t>
  </x:si>
  <x:si>
    <x:t>현장별 19년 09월 투입비 세부금액</x:t>
  </x:si>
  <x:si>
    <x:t>현장별 19년 11월 투입비 세부금액</x:t>
  </x:si>
  <x:si>
    <x:t>현장별 18년 11월 투입비 예상금액</x:t>
  </x:si>
  <x:si>
    <x:t>현장별 19년 06월 투입비 예상금액</x:t>
  </x:si>
  <x:si>
    <x:t>현장별 19년 02월 투입비 예상금액</x:t>
  </x:si>
  <x:si>
    <x:t>현장별 20년 03월 투입비 세부금액</x:t>
  </x:si>
  <x:si>
    <x:t>컨테이너임차료(03.29~04.28)</x:t>
  </x:si>
  <x:si>
    <x:t>컨테이너임차료(03.25~04.24)</x:t>
  </x:si>
  <x:si>
    <x:t>컨테이너임차료(05.25~06.24)</x:t>
  </x:si>
  <x:si>
    <x:t>컨테이너임차료(04.29~05.28)</x:t>
  </x:si>
  <x:si>
    <x:t>현장별 (20년 04월) 투입비 집계표</x:t>
  </x:si>
  <x:si>
    <x:t>컨테이너임차료(01.25~02.24)</x:t>
  </x:si>
  <x:si>
    <x:t>현장별 (20년 05월) 투입비 집계표</x:t>
  </x:si>
  <x:si>
    <x:t>컨테이너임차료(02.25~03.24)</x:t>
  </x:si>
  <x:si>
    <x:t>현장별 20년 05월 투입비 세부금액</x:t>
  </x:si>
  <x:si>
    <x:t>컨테이너임차료(06.29~07.28)</x:t>
  </x:si>
  <x:si>
    <x:t>현장별 (20년 06월) 투입비 집계표</x:t>
  </x:si>
  <x:si>
    <x:t>현장별 20년 06월 투입비 세부금액</x:t>
  </x:si>
  <x:si>
    <x:t>컨테이너임차료(07.29~08.28)</x:t>
  </x:si>
  <x:si>
    <x:t>현장별 (20년 02월) 투입비 집계표</x:t>
  </x:si>
  <x:si>
    <x:t>컨테이너임차료(06.25~07.24)</x:t>
  </x:si>
  <x:si>
    <x:t>현장별 20년 02월 투입비 세부금액</x:t>
  </x:si>
  <x:si>
    <x:t>현장별 20년 07월 투입비 세부금액</x:t>
  </x:si>
  <x:si>
    <x:t>현장별 20년 04월 투입비 세부금액</x:t>
  </x:si>
  <x:si>
    <x:t>현장별 (20년 07월) 투입비 집계표</x:t>
  </x:si>
  <x:si>
    <x:t>분전반 선급금포함:
\33,480,000</x:t>
  </x:si>
  <x:si>
    <x:t>분전반 선급금포함:
\59,055,000</x:t>
  </x:si>
  <x:si>
    <x:t>현장별 20년 08월 투입비 세부금액</x:t>
  </x:si>
  <x:si>
    <x:t>현장별 (20년 08월) 투입비 집계표</x:t>
  </x:si>
  <x:si>
    <x:t>컨테이너임차료(07.24~08.24)</x:t>
  </x:si>
  <x:si>
    <x:t>현장별 20년 09월 투입비 세부금액</x:t>
  </x:si>
  <x:si>
    <x:t>현장별 (20년 01월) 투입비 집계표</x:t>
  </x:si>
  <x:si>
    <x:t>현장별 (20년 03월) 투입비 집계표</x:t>
  </x:si>
  <x:si>
    <x:t>컨테이너임차료(05.29~06.28)</x:t>
  </x:si>
  <x:si>
    <x:t>컨테이너임차료(04.25~05.24)</x:t>
  </x:si>
  <x:si>
    <x:t>컨테이너임차료(08.25~09.24)</x:t>
  </x:si>
  <x:si>
    <x:t>현장별 21년 02월 투입비 세부금액</x:t>
  </x:si>
  <x:si>
    <x:t>LIGHTNING W/SUPPORT외</x:t>
  </x:si>
  <x:si>
    <x:t>현장별 21년 04월 투입비 세부금액</x:t>
  </x:si>
  <x:si>
    <x:t>현장별 21년 09월 투입비 세부금액</x:t>
  </x:si>
  <x:si>
    <x:t>현장별 (21년 07월) 투입비 집계표</x:t>
  </x:si>
  <x:si>
    <x:t>현장별 (20년 09월) 투입비 집계표</x:t>
  </x:si>
  <x:si>
    <x:t>현장별 21년 05월 투입비 세부금액</x:t>
  </x:si>
  <x:si>
    <x:t>컨테이너임차료(09.29~10.28)</x:t>
  </x:si>
  <x:si>
    <x:t>현장별 21년 10월 투입비 세부금액</x:t>
  </x:si>
  <x:si>
    <x:t>현장별 20년 10월 투입비 세부금액</x:t>
  </x:si>
  <x:si>
    <x:t>현장별 (20년 12월) 투입비 집계표</x:t>
  </x:si>
  <x:si>
    <x:t>현장별 20년 11월 투입비 세부금액</x:t>
  </x:si>
  <x:si>
    <x:t>현장별 (20년 10월) 투입비 집계표</x:t>
  </x:si>
  <x:si>
    <x:t>현장별 20년 12월 투입비 세부금액</x:t>
  </x:si>
  <x:si>
    <x:t>현장별 21년 01월 투입비 세부금액</x:t>
  </x:si>
  <x:si>
    <x:t>현장별 21년 03월 투입비 세부금액</x:t>
  </x:si>
  <x:si>
    <x:t>현장별 21년 06월 투입비 세부금액</x:t>
  </x:si>
  <x:si>
    <x:t>현장별 (21년 05월) 투입비 집계표</x:t>
  </x:si>
  <x:si>
    <x:t>컨테이너임차료(08.29~09.28)</x:t>
  </x:si>
  <x:si>
    <x:t>현장별 (21년 01월) 투입비 집계표</x:t>
  </x:si>
  <x:si>
    <x:t>현장별 (21년 06월) 투입비 집계표</x:t>
  </x:si>
  <x:si>
    <x:t>현장별 (21년 04월) 투입비 집계표</x:t>
  </x:si>
  <x:si>
    <x:t>현장별 (21년 03월) 투입비 집계표</x:t>
  </x:si>
  <x:si>
    <x:t>현장별 21년 07월 투입비 세부금액</x:t>
  </x:si>
  <x:si>
    <x:t>현장별 (21년 02월) 투입비 집계표</x:t>
  </x:si>
  <x:si>
    <x:t>현장별 (21년 09월) 투입비 집계표</x:t>
  </x:si>
  <x:si>
    <x:t>현장별 (20년 11월) 투입비 집계표</x:t>
  </x:si>
  <x:si>
    <x:t>HP VER FIXING ANGLE,PC</x:t>
  </x:si>
  <x:si>
    <x:t>현장별 21년 08월 투입비 세부금액</x:t>
  </x:si>
  <x:si>
    <x:t>현장별 (21년 08월) 투입비 집계표</x:t>
  </x:si>
  <x:si>
    <x:t>현장별 (21년 12월) 투입비 집계표</x:t>
  </x:si>
  <x:si>
    <x:t>현장별 (21년 10월) 투입비 집계표</x:t>
  </x:si>
  <x:si>
    <x:t>현장별 (21년 11월) 투입비 집계표</x:t>
  </x:si>
  <x:si>
    <x:t>현장별 (22년 01월) 투입비 집계표</x:t>
  </x:si>
  <x:si>
    <x:t>현장별 22년 02월 투입비 세부금액</x:t>
  </x:si>
  <x:si>
    <x:t>현장별 21년 11월 투입비 세부금액</x:t>
  </x:si>
  <x:si>
    <x:t>PEN HOLE TERMINAL 외 7건</x:t>
  </x:si>
  <x:si>
    <x:t>현장별 21년 12월 투입비 세부금액</x:t>
  </x:si>
  <x:si>
    <x:t>현장별 22년 01월 투입비 세부금액</x:t>
  </x:si>
  <x:si>
    <x:t>현장별 투입비 집계표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</x:si>
</x:sst>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#,##0_ ;[Red]\-#,##0\ "/>
  </x:numFmts>
  <x:fonts count="15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  <x:font>
      <x:name val="맑은 고딕"/>
      <x:sz val="11"/>
      <x:color rgb="ffff0000"/>
    </x:font>
    <x:font>
      <x:name val="맑은 고딕"/>
      <x:sz val="20"/>
      <x:color rgb="ff000000"/>
    </x:font>
    <x:font>
      <x:name val="돋움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ahoma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Tahoma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  <x:b val="1"/>
        </x:font>
      </mc:Fallback>
    </mc:AlternateContent>
  </x:fonts>
  <x:fills count="9">
    <x:fill>
      <x:patternFill patternType="none"/>
    </x:fill>
    <x:fill>
      <x:patternFill patternType="gray125"/>
    </x:fill>
    <x:fill>
      <x:patternFill patternType="solid">
        <x:fgColor rgb="ffd7e4bc"/>
        <x:bgColor indexed="64"/>
      </x:patternFill>
    </x:fill>
    <x:fill>
      <x:patternFill patternType="solid">
        <x:fgColor rgb="fffcd5b5"/>
        <x:bgColor indexed="64"/>
      </x:patternFill>
    </x:fill>
    <x:fill>
      <x:patternFill patternType="solid">
        <x:fgColor rgb="ffccc1da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b7dee8"/>
        <x:bgColor indexed="64"/>
      </x:patternFill>
    </x:fill>
    <x:fill>
      <x:patternFill patternType="solid">
        <x:fgColor rgb="fffdeadb"/>
        <x:bgColor indexed="64"/>
      </x:patternFill>
    </x:fill>
  </x:fills>
  <x:borders count="3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double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double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double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double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double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double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double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double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0" fontId="0" fillId="0" borderId="0">
      <x:alignment horizontal="general" vertical="center"/>
    </x:xf>
  </x:cellStyleXfs>
  <x:cellXfs count="308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41" fontId="0" fillId="0" borderId="0" xfId="1" applyNumberFormat="1" applyFont="1">
      <x:alignment horizontal="general" vertical="center"/>
    </x:xf>
    <x:xf numFmtId="0" fontId="0" fillId="0" borderId="1" xfId="0" applyNumberFormat="1" applyBorder="1" applyAlignment="1">
      <x:alignment horizontal="general" vertical="center" shrinkToFit="1"/>
    </x:xf>
    <x:xf numFmtId="41" fontId="0" fillId="0" borderId="1" xfId="1" applyNumberFormat="1" applyFont="1" applyBorder="1" applyAlignment="1">
      <x:alignment horizontal="general" vertical="center" shrinkToFit="1"/>
    </x:xf>
    <x:xf numFmtId="41" fontId="0" fillId="0" borderId="2" xfId="1" applyNumberFormat="1" applyFont="1" applyBorder="1" applyAlignment="1">
      <x:alignment horizontal="general" vertical="center" shrinkToFit="1"/>
    </x:xf>
    <x:xf numFmtId="41" fontId="0" fillId="0" borderId="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6" fillId="2" borderId="4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4" xfId="0" applyNumberFormat="1" applyFont="1" applyFill="1" applyBorder="1" applyAlignment="1">
          <x:alignment horizontal="center" vertical="center" shrinkToFit="1"/>
        </x:xf>
      </mc:Fallback>
    </mc:AlternateContent>
    <x:xf numFmtId="0" fontId="6" fillId="2" borderId="1" xfId="0" applyNumberFormat="1" applyFont="1" applyFill="1" applyBorder="1" applyAlignment="1">
      <x:alignment horizontal="general" vertical="center" shrinkToFit="1"/>
    </x:xf>
    <x:xf numFmtId="41" fontId="6" fillId="2" borderId="1" xfId="1" applyNumberFormat="1" applyFont="1" applyFill="1" applyBorder="1" applyAlignment="1">
      <x:alignment horizontal="general" vertical="center" shrinkToFit="1"/>
    </x:xf>
    <x:xf numFmtId="41" fontId="6" fillId="2" borderId="2" xfId="1" applyNumberFormat="1" applyFont="1" applyFill="1" applyBorder="1" applyAlignment="1">
      <x:alignment horizontal="general" vertical="center" shrinkToFit="1"/>
    </x:xf>
    <x:xf numFmtId="41" fontId="6" fillId="2" borderId="3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6" fillId="3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5" xfId="0" applyNumberFormat="1" applyFont="1" applyFill="1" applyBorder="1" applyAlignment="1">
          <x:alignment horizontal="center" vertical="center" shrinkToFit="1"/>
        </x:xf>
      </mc:Fallback>
    </mc:AlternateContent>
    <x:xf numFmtId="0" fontId="6" fillId="3" borderId="6" xfId="0" applyNumberFormat="1" applyFont="1" applyFill="1" applyBorder="1" applyAlignment="1">
      <x:alignment horizontal="general" vertical="center" shrinkToFit="1"/>
    </x:xf>
    <x:xf numFmtId="41" fontId="6" fillId="3" borderId="6" xfId="1" applyNumberFormat="1" applyFont="1" applyFill="1" applyBorder="1" applyAlignment="1">
      <x:alignment horizontal="general" vertical="center" shrinkToFit="1"/>
    </x:xf>
    <x:xf numFmtId="41" fontId="6" fillId="3" borderId="7" xfId="1" applyNumberFormat="1" applyFont="1" applyFill="1" applyBorder="1" applyAlignment="1">
      <x:alignment horizontal="general" vertical="center" shrinkToFit="1"/>
    </x:xf>
    <x:xf numFmtId="41" fontId="6" fillId="3" borderId="8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x:xf numFmtId="41" fontId="0" fillId="0" borderId="10" xfId="1" applyNumberFormat="1" applyFont="1" applyBorder="1" applyAlignment="1">
      <x:alignment horizontal="general" vertical="center" shrinkToFit="1"/>
    </x:xf>
    <x:xf numFmtId="0" fontId="0" fillId="0" borderId="11" xfId="0" applyNumberFormat="1" applyBorder="1" applyAlignment="1">
      <x:alignment horizontal="general" vertical="center" shrinkToFit="1"/>
    </x:xf>
    <x:xf numFmtId="41" fontId="0" fillId="0" borderId="11" xfId="1" applyNumberFormat="1" applyFont="1" applyBorder="1" applyAlignment="1">
      <x:alignment horizontal="general" vertical="center" shrinkToFit="1"/>
    </x:xf>
    <x:xf numFmtId="41" fontId="0" fillId="0" borderId="12" xfId="1" applyNumberFormat="1" applyFont="1" applyBorder="1" applyAlignment="1">
      <x:alignment horizontal="general" vertical="center" shrinkToFit="1"/>
    </x:xf>
    <x:xf numFmtId="41" fontId="0" fillId="0" borderId="1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6" fillId="4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4" borderId="5" xfId="0" applyNumberFormat="1" applyFont="1" applyFill="1" applyBorder="1" applyAlignment="1">
          <x:alignment horizontal="center" vertical="center" shrinkToFit="1"/>
        </x:xf>
      </mc:Fallback>
    </mc:AlternateContent>
    <x:xf numFmtId="0" fontId="6" fillId="4" borderId="6" xfId="0" applyNumberFormat="1" applyFont="1" applyFill="1" applyBorder="1" applyAlignment="1">
      <x:alignment horizontal="general" vertical="center" shrinkToFit="1"/>
    </x:xf>
    <x:xf numFmtId="41" fontId="6" fillId="4" borderId="6" xfId="1" applyNumberFormat="1" applyFont="1" applyFill="1" applyBorder="1" applyAlignment="1">
      <x:alignment horizontal="general" vertical="center" shrinkToFit="1"/>
    </x:xf>
    <x:xf numFmtId="41" fontId="6" fillId="4" borderId="7" xfId="1" applyNumberFormat="1" applyFont="1" applyFill="1" applyBorder="1" applyAlignment="1">
      <x:alignment horizontal="general" vertical="center" shrinkToFit="1"/>
    </x:xf>
    <x:xf numFmtId="41" fontId="6" fillId="4" borderId="8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1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1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14" xfId="1" applyNumberFormat="1" applyFont="1" applyFill="1" applyBorder="1" applyAlignment="1">
          <x:alignment horizontal="center" vertical="center"/>
        </x:xf>
      </mc:Fallback>
    </mc:AlternateContent>
    <x:xf numFmtId="41" fontId="7" fillId="0" borderId="1" xfId="1" applyNumberFormat="1" applyFont="1" applyBorder="1" applyAlignment="1">
      <x:alignment horizontal="general" vertical="center" shrinkToFit="1"/>
    </x:xf>
    <x:xf numFmtId="41" fontId="7" fillId="0" borderId="2" xfId="1" applyNumberFormat="1" applyFont="1" applyBorder="1" applyAlignment="1">
      <x:alignment horizontal="general" vertical="center" shrinkToFit="1"/>
    </x:xf>
    <x:xf numFmtId="41" fontId="7" fillId="0" borderId="3" xfId="1" applyNumberFormat="1" applyFont="1" applyBorder="1" applyAlignment="1">
      <x:alignment horizontal="general" vertical="center" shrinkToFit="1"/>
    </x:xf>
    <x:xf numFmtId="0" fontId="6" fillId="0" borderId="15" xfId="0" applyNumberFormat="1" applyFont="1" applyBorder="1" applyAlignment="1">
      <x:alignment horizontal="general" vertical="center" shrinkToFit="1"/>
    </x:xf>
    <x:xf numFmtId="41" fontId="6" fillId="0" borderId="15" xfId="1" applyNumberFormat="1" applyFont="1" applyBorder="1" applyAlignment="1">
      <x:alignment horizontal="general" vertical="center" shrinkToFit="1"/>
    </x:xf>
    <x:xf numFmtId="41" fontId="6" fillId="0" borderId="16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6" fillId="0" borderId="9" xfId="0" applyNumberFormat="1" applyFon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NumberFormat="1" applyFont="1" applyBorder="1" applyAlignment="1">
          <x:alignment horizontal="center" vertical="center" shrinkToFit="1"/>
        </x:xf>
      </mc:Fallback>
    </mc:AlternateContent>
    <x:xf numFmtId="41" fontId="6" fillId="0" borderId="10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x:xf numFmtId="41" fontId="0" fillId="0" borderId="1" xfId="1" applyNumberFormat="1" applyFont="1" applyBorder="1" applyAlignment="1">
      <x:alignment horizontal="general" vertical="center" shrinkToFit="1"/>
    </x:xf>
    <x:xf numFmtId="41" fontId="0" fillId="0" borderId="2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x:xf numFmtId="0" fontId="0" fillId="0" borderId="17" xfId="0" applyNumberForma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x:xf numFmtId="0" fontId="0" fillId="6" borderId="1" xfId="0" applyNumberFormat="1" applyFont="1" applyFill="1" applyBorder="1" applyAlignment="1">
      <x:alignment horizontal="general" vertical="center" shrinkToFit="1"/>
    </x:xf>
    <x:xf numFmtId="41" fontId="0" fillId="6" borderId="1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shrinkToFit="1"/>
        </x:xf>
      </mc:Fallback>
    </mc:AlternateContent>
    <x:xf numFmtId="0" fontId="0" fillId="0" borderId="1" xfId="0" applyNumberFormat="1" applyFont="1" applyBorder="1" applyAlignment="1">
      <x:alignment horizontal="general" vertical="center" shrinkToFit="1"/>
    </x:xf>
    <x:xf numFmtId="41" fontId="6" fillId="0" borderId="1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6" borderId="1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1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3" borderId="1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1" xfId="0" applyNumberFormat="1" applyFont="1" applyFill="1" applyBorder="1" applyAlignment="1">
          <x:alignment horizontal="center" vertical="center" shrinkToFit="1"/>
        </x:xf>
      </mc:Fallback>
    </mc:AlternateContent>
    <x:xf numFmtId="0" fontId="6" fillId="3" borderId="1" xfId="0" applyNumberFormat="1" applyFont="1" applyFill="1" applyBorder="1" applyAlignment="1">
      <x:alignment horizontal="general" vertical="center" shrinkToFit="1"/>
    </x:xf>
    <x:xf numFmtId="41" fontId="6" fillId="3" borderId="1" xfId="1" applyNumberFormat="1" applyFont="1" applyFill="1" applyBorder="1" applyAlignment="1">
      <x:alignment horizontal="general" vertical="center" shrinkToFit="1"/>
    </x:xf>
    <x:xf numFmtId="41" fontId="0" fillId="0" borderId="1" xfId="1" applyNumberFormat="1" applyFont="1" applyBorder="1" applyAlignment="1">
      <x:alignment horizontal="general" vertical="center" shrinkToFit="1"/>
    </x:xf>
    <x:xf numFmtId="41" fontId="6" fillId="3" borderId="1" xfId="0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6" fillId="3" borderId="1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3" borderId="1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right" vertical="center"/>
        </x:xf>
      </mc:Fallback>
    </mc:AlternateContent>
    <x:xf numFmtId="41" fontId="0" fillId="6" borderId="1" xfId="1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1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3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3" applyNumberFormat="1" applyFont="1" applyBorder="1" applyAlignment="1">
          <x:alignment horizontal="center" vertical="center"/>
        </x:xf>
      </mc:Fallback>
    </mc:AlternateContent>
    <x:xf numFmtId="41" fontId="6" fillId="7" borderId="1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6" fillId="7" borderId="1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7" borderId="1" xfId="1" applyNumberFormat="1" applyFont="1" applyFill="1" applyBorder="1" applyAlignment="1">
          <x:alignment horizontal="center" vertical="center" shrinkToFit="1"/>
        </x:xf>
      </mc:Fallback>
    </mc:AlternateContent>
    <x:xf numFmtId="41" fontId="11" fillId="2" borderId="1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6" fillId="2" borderId="1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17" xfId="1" applyNumberFormat="1" applyFont="1" applyBorder="1" applyAlignment="1">
      <x:alignment horizontal="general" vertical="center" shrinkToFit="1"/>
    </x:xf>
    <x:xf numFmtId="41" fontId="0" fillId="0" borderId="18" xfId="1" applyNumberFormat="1" applyFont="1" applyBorder="1" applyAlignment="1">
      <x:alignment horizontal="general" vertical="center" shrinkToFit="1"/>
    </x:xf>
    <x:xf numFmtId="41" fontId="0" fillId="0" borderId="19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6" borderId="1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6" borderId="1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12" fillId="6" borderId="1" xfId="1" applyNumberFormat="1" applyFont="1" applyFill="1" applyBorder="1" applyAlignment="1">
      <x:alignment horizontal="general" vertical="center" wrapText="1" shrinkToFit="1"/>
    </x:xf>
    <x:xf numFmtId="41" fontId="11" fillId="3" borderId="1" xfId="1" applyNumberFormat="1" applyFont="1" applyFill="1" applyBorder="1" applyAlignment="1">
      <x:alignment horizontal="general" vertical="center" shrinkToFit="1"/>
    </x:xf>
    <x:xf numFmtId="41" fontId="6" fillId="3" borderId="1" xfId="1" applyNumberFormat="1" applyFont="1" applyFill="1" applyBorder="1" applyAlignment="1">
      <x:alignment horizontal="general" vertical="center" shrinkToFit="1"/>
    </x:xf>
    <x:xf numFmtId="0" fontId="0" fillId="3" borderId="1" xfId="0" applyNumberFormat="1" applyFill="1" applyBorder="1" applyAlignment="1">
      <x:alignment horizontal="general" vertical="center" shrinkToFit="1"/>
    </x:xf>
    <x:xf numFmtId="41" fontId="0" fillId="3" borderId="1" xfId="1" applyNumberFormat="1" applyFont="1" applyFill="1" applyBorder="1" applyAlignment="1">
      <x:alignment horizontal="general" vertical="center" shrinkToFit="1"/>
    </x:xf>
    <x:xf numFmtId="41" fontId="0" fillId="3" borderId="2" xfId="1" applyNumberFormat="1" applyFont="1" applyFill="1" applyBorder="1" applyAlignment="1">
      <x:alignment horizontal="general" vertical="center" shrinkToFit="1"/>
    </x:xf>
    <x:xf numFmtId="41" fontId="0" fillId="3" borderId="3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0" fontId="0" fillId="6" borderId="1" xfId="0" applyNumberFormat="1" applyFill="1" applyBorder="1" applyAlignment="1">
      <x:alignment horizontal="general" vertical="center" shrinkToFit="1"/>
    </x:xf>
    <x:xf numFmtId="41" fontId="0" fillId="6" borderId="1" xfId="1" applyNumberFormat="1" applyFont="1" applyFill="1" applyBorder="1" applyAlignment="1">
      <x:alignment horizontal="general" vertical="center" shrinkToFit="1"/>
    </x:xf>
    <x:xf numFmtId="41" fontId="0" fillId="6" borderId="2" xfId="1" applyNumberFormat="1" applyFont="1" applyFill="1" applyBorder="1" applyAlignment="1">
      <x:alignment horizontal="general" vertical="center" shrinkToFit="1"/>
    </x:xf>
    <x:xf numFmtId="41" fontId="0" fillId="6" borderId="3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164" fontId="11" fillId="2" borderId="1" xfId="1" applyNumberFormat="1" applyFont="1" applyFill="1" applyBorder="1" applyAlignment="1">
      <x:alignment horizontal="general" vertical="center" shrinkToFit="1"/>
    </x:xf>
    <x:xf numFmtId="164" fontId="6" fillId="2" borderId="1" xfId="1" applyNumberFormat="1" applyFont="1" applyFill="1" applyBorder="1" applyAlignment="1">
      <x:alignment horizontal="general" vertical="center" shrinkToFit="1"/>
    </x:xf>
    <x:xf numFmtId="164" fontId="6" fillId="2" borderId="1" xfId="1" applyNumberFormat="1" applyFont="1" applyFill="1" applyBorder="1" applyAlignment="1">
      <x:alignment horizontal="general" vertical="center" shrinkToFit="1"/>
    </x:xf>
    <x:xf numFmtId="164" fontId="6" fillId="3" borderId="1" xfId="1" applyNumberFormat="1" applyFont="1" applyFill="1" applyBorder="1" applyAlignment="1">
      <x:alignment horizontal="general" vertical="center" shrinkToFit="1"/>
    </x:xf>
    <x:xf numFmtId="0" fontId="0" fillId="0" borderId="15" xfId="0" applyNumberFormat="1" applyBorder="1" applyAlignment="1">
      <x:alignment horizontal="general" vertical="center" shrinkToFit="1"/>
    </x:xf>
    <x:xf numFmtId="41" fontId="0" fillId="0" borderId="15" xfId="1" applyNumberFormat="1" applyFont="1" applyBorder="1" applyAlignment="1">
      <x:alignment horizontal="general" vertical="center" shrinkToFit="1"/>
    </x:xf>
    <x:xf numFmtId="41" fontId="0" fillId="0" borderId="16" xfId="1" applyNumberFormat="1" applyFont="1" applyBorder="1" applyAlignment="1">
      <x:alignment horizontal="general" vertical="center" shrinkToFit="1"/>
    </x:xf>
    <x:xf numFmtId="44" fontId="0" fillId="0" borderId="3" xfId="2" applyNumberFormat="1" applyFont="1" applyBorder="1" applyAlignment="1">
      <x:alignment horizontal="general" vertical="center" shrinkToFit="1"/>
    </x:xf>
    <x:xf numFmtId="0" fontId="0" fillId="0" borderId="20" xfId="0" applyNumberFormat="1" applyBorder="1" applyAlignment="1">
      <x:alignment horizontal="general" vertical="center" shrinkToFit="1"/>
    </x:xf>
    <x:xf numFmtId="41" fontId="0" fillId="0" borderId="20" xfId="1" applyNumberFormat="1" applyFont="1" applyBorder="1" applyAlignment="1">
      <x:alignment horizontal="general" vertical="center" shrinkToFit="1"/>
    </x:xf>
    <x:xf numFmtId="0" fontId="6" fillId="0" borderId="21" xfId="0" applyNumberFormat="1" applyFont="1" applyBorder="1" applyAlignment="1">
      <x:alignment horizontal="general" vertical="center" shrinkToFit="1"/>
    </x:xf>
    <x:xf numFmtId="41" fontId="6" fillId="0" borderId="21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0" fontId="7" fillId="0" borderId="1" xfId="0" applyNumberFormat="1" applyFont="1" applyBorder="1" applyAlignment="1">
      <x:alignment horizontal="general" vertical="center" shrinkToFit="1"/>
    </x:xf>
    <x:xf numFmtId="0" fontId="7" fillId="0" borderId="1" xfId="0" applyNumberFormat="1" applyFont="1" applyBorder="1" applyAlignment="1">
      <x:alignment horizontal="general" vertical="center" shrinkToFit="1"/>
    </x:xf>
    <x:xf numFmtId="41" fontId="7" fillId="0" borderId="1" xfId="1" applyNumberFormat="1" applyFont="1" applyBorder="1" applyAlignment="1">
      <x:alignment horizontal="general" vertical="center" shrinkToFit="1"/>
    </x:xf>
    <x:xf numFmtId="41" fontId="7" fillId="0" borderId="2" xfId="1" applyNumberFormat="1" applyFont="1" applyBorder="1" applyAlignment="1">
      <x:alignment horizontal="general" vertical="center" shrinkToFit="1"/>
    </x:xf>
    <x:xf numFmtId="41" fontId="7" fillId="0" borderId="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0" fontId="0" fillId="0" borderId="1" xfId="0" applyNumberFormat="1" applyFont="1" applyBorder="1" applyAlignment="1">
      <x:alignment horizontal="general" vertical="center" shrinkToFit="1"/>
    </x:xf>
    <x:xf numFmtId="41" fontId="0" fillId="0" borderId="1" xfId="1" applyNumberFormat="1" applyFont="1" applyBorder="1" applyAlignment="1">
      <x:alignment horizontal="general" vertical="center" shrinkToFit="1"/>
    </x:xf>
    <x:xf numFmtId="41" fontId="0" fillId="0" borderId="2" xfId="1" applyNumberFormat="1" applyFont="1" applyBorder="1" applyAlignment="1">
      <x:alignment horizontal="general" vertical="center" shrinkToFit="1"/>
    </x:xf>
    <x:xf numFmtId="0" fontId="7" fillId="0" borderId="11" xfId="0" applyNumberFormat="1" applyFont="1" applyBorder="1" applyAlignment="1">
      <x:alignment horizontal="general" vertical="center" shrinkToFit="1"/>
    </x:xf>
    <x:xf numFmtId="0" fontId="7" fillId="0" borderId="17" xfId="0" applyNumberFormat="1" applyFont="1" applyBorder="1" applyAlignment="1">
      <x:alignment horizontal="general" vertical="center" shrinkToFit="1"/>
    </x:xf>
    <x:xf numFmtId="41" fontId="7" fillId="0" borderId="11" xfId="1" applyNumberFormat="1" applyFont="1" applyBorder="1" applyAlignment="1">
      <x:alignment horizontal="general" vertical="center" shrinkToFit="1"/>
    </x:xf>
    <x:xf numFmtId="41" fontId="7" fillId="0" borderId="12" xfId="1" applyNumberFormat="1" applyFont="1" applyBorder="1" applyAlignment="1">
      <x:alignment horizontal="general" vertical="center" shrinkToFit="1"/>
    </x:xf>
    <x:xf numFmtId="41" fontId="7" fillId="0" borderId="1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1" xfId="1" applyNumberFormat="1" applyFont="1" applyBorder="1">
      <x:alignment horizontal="general" vertical="center"/>
    </x:xf>
    <x:xf numFmtId="41" fontId="0" fillId="0" borderId="1" xfId="1" applyNumberFormat="1" applyFont="1" applyFill="1" applyBorder="1">
      <x:alignment horizontal="general" vertical="center"/>
    </x:xf>
    <x:xf numFmtId="41" fontId="0" fillId="0" borderId="1" xfId="0" applyNumberFormat="1" applyBorder="1">
      <x:alignment horizontal="general" vertical="center"/>
    </x:xf>
    <x:xf numFmtId="0" fontId="0" fillId="0" borderId="1" xfId="0" applyNumberFormat="1" applyBorder="1">
      <x:alignment horizontal="general" vertical="center"/>
    </x:xf>
    <x:xf numFmtId="41" fontId="7" fillId="0" borderId="19" xfId="1" applyNumberFormat="1" applyFont="1" applyBorder="1" applyAlignment="1">
      <x:alignment horizontal="general" vertical="center" shrinkToFit="1"/>
    </x:xf>
    <x:xf numFmtId="0" fontId="0" fillId="0" borderId="1" xfId="0" applyNumberFormat="1" applyFont="1" applyBorder="1" applyAlignment="1">
      <x:alignment horizontal="general" vertical="center" shrinkToFit="1"/>
    </x:xf>
    <x:xf numFmtId="41" fontId="0" fillId="0" borderId="3" xfId="1" applyNumberFormat="1" applyFont="1" applyBorder="1" applyAlignment="1">
      <x:alignment horizontal="general" vertical="center" shrinkToFit="1"/>
    </x:xf>
    <x:xf numFmtId="41" fontId="0" fillId="0" borderId="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22" xfId="1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2" xfId="1" applyNumberFormat="1" applyFont="1" applyBorder="1" applyAlignment="1">
      <x:alignment horizontal="general" vertical="center" shrinkToFit="1"/>
    </x:xf>
    <x:xf numFmtId="41" fontId="0" fillId="0" borderId="2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23" xfId="1" applyNumberFormat="1" applyFont="1" applyBorder="1" applyAlignment="1">
      <x:alignment horizontal="general" vertical="center" shrinkToFit="1"/>
    </x:xf>
    <x:xf numFmtId="41" fontId="0" fillId="0" borderId="0" xfId="1" applyNumberFormat="1" applyFont="1" applyBorder="1">
      <x:alignment horizontal="general" vertical="center"/>
    </x:xf>
    <x:xf numFmtId="41" fontId="0" fillId="0" borderId="0" xfId="0" applyNumberFormat="1" applyBorder="1">
      <x:alignment horizontal="general" vertical="center"/>
    </x:xf>
    <x:xf numFmtId="41" fontId="0" fillId="0" borderId="20" xfId="1" applyNumberFormat="1" applyFont="1" applyBorder="1" applyAlignment="1">
      <x:alignment horizontal="general" vertical="center" shrinkToFit="1"/>
    </x:xf>
    <x:xf numFmtId="41" fontId="0" fillId="0" borderId="24" xfId="1" applyNumberFormat="1" applyFont="1" applyBorder="1" applyAlignment="1">
      <x:alignment horizontal="general" vertical="center" shrinkToFit="1"/>
    </x:xf>
    <x:xf numFmtId="41" fontId="0" fillId="0" borderId="23" xfId="1" applyNumberFormat="1" applyFont="1" applyBorder="1" applyAlignment="1">
      <x:alignment horizontal="general" vertical="center" shrinkToFit="1"/>
    </x:xf>
    <x:xf numFmtId="41" fontId="0" fillId="6" borderId="1" xfId="1" applyNumberFormat="1" applyFont="1" applyFill="1" applyBorder="1" applyAlignment="1">
      <x:alignment horizontal="general" vertical="center" wrapText="1" shrinkToFit="1"/>
    </x:xf>
    <mc:AlternateContent xmlns:mc="http://schemas.openxmlformats.org/markup-compatibility/2006">
      <mc:Choice xmlns:hs="http://schemas.haansoft.com/office/spreadsheet/8.0" Requires="hs">
        <x:xf numFmtId="41" fontId="0" fillId="6" borderId="1" xfId="1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6" borderId="1" xfId="1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1" xfId="1" applyNumberFormat="1" applyFont="1" applyBorder="1" applyAlignment="1">
      <x:alignment horizontal="general" vertical="center" shrinkToFit="1"/>
    </x:xf>
    <x:xf numFmtId="0" fontId="0" fillId="0" borderId="11" xfId="0" applyNumberFormat="1" applyFont="1" applyBorder="1" applyAlignment="1">
      <x:alignment horizontal="general" vertical="center" shrinkToFit="1"/>
    </x:xf>
    <x:xf numFmtId="0" fontId="0" fillId="0" borderId="17" xfId="0" applyNumberFormat="1" applyFont="1" applyBorder="1" applyAlignment="1">
      <x:alignment horizontal="general" vertical="center" shrinkToFit="1"/>
    </x:xf>
    <x:xf numFmtId="41" fontId="0" fillId="0" borderId="11" xfId="1" applyNumberFormat="1" applyFont="1" applyBorder="1" applyAlignment="1">
      <x:alignment horizontal="general" vertical="center" shrinkToFit="1"/>
    </x:xf>
    <x:xf numFmtId="41" fontId="0" fillId="0" borderId="12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9" fontId="0" fillId="0" borderId="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5" borderId="1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0" fillId="0" borderId="11" xfId="1" applyNumberFormat="1" applyFont="1" applyBorder="1" applyAlignment="1">
      <x:alignment horizontal="general" vertical="center" shrinkToFit="1"/>
    </x:xf>
    <x:xf numFmtId="41" fontId="0" fillId="0" borderId="17" xfId="1" applyNumberFormat="1" applyFont="1" applyBorder="1" applyAlignment="1">
      <x:alignment horizontal="general" vertical="center" shrinkToFit="1"/>
    </x:xf>
    <x:xf numFmtId="41" fontId="0" fillId="6" borderId="1" xfId="1" applyNumberFormat="1" applyFont="1" applyFill="1" applyBorder="1" applyAlignment="1">
      <x:alignment horizontal="general" vertical="center" shrinkToFit="1"/>
    </x:xf>
    <x:xf numFmtId="41" fontId="0" fillId="0" borderId="17" xfId="1" applyNumberFormat="1" applyFont="1" applyBorder="1" applyAlignment="1">
      <x:alignment horizontal="general" vertical="center" shrinkToFit="1"/>
    </x:xf>
    <x:xf numFmtId="13" fontId="0" fillId="0" borderId="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7" fillId="0" borderId="23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41" fontId="7" fillId="0" borderId="20" xfId="1" applyNumberFormat="1" applyFont="1" applyBorder="1" applyAlignment="1">
      <x:alignment horizontal="general" vertical="center" shrinkToFit="1"/>
    </x:xf>
    <x:xf numFmtId="41" fontId="7" fillId="0" borderId="18" xfId="1" applyNumberFormat="1" applyFont="1" applyBorder="1" applyAlignment="1">
      <x:alignment horizontal="general" vertical="center" shrinkToFit="1"/>
    </x:xf>
    <x:xf numFmtId="41" fontId="7" fillId="6" borderId="1" xfId="1" applyNumberFormat="1" applyFont="1" applyFill="1" applyBorder="1" applyAlignment="1">
      <x:alignment horizontal="general" vertical="center" shrinkToFit="1"/>
    </x:xf>
    <x:xf numFmtId="0" fontId="0" fillId="8" borderId="20" xfId="0" applyNumberFormat="1" applyFill="1" applyBorder="1" applyAlignment="1">
      <x:alignment horizontal="general" vertical="center" shrinkToFit="1"/>
    </x:xf>
    <x:xf numFmtId="0" fontId="0" fillId="8" borderId="1" xfId="0" applyNumberFormat="1" applyFill="1" applyBorder="1" applyAlignment="1">
      <x:alignment horizontal="general" vertical="center" shrinkToFit="1"/>
    </x:xf>
    <x:xf numFmtId="41" fontId="0" fillId="8" borderId="20" xfId="1" applyNumberFormat="1" applyFont="1" applyFill="1" applyBorder="1" applyAlignment="1">
      <x:alignment horizontal="general" vertical="center" shrinkToFit="1"/>
    </x:xf>
    <x:xf numFmtId="41" fontId="0" fillId="8" borderId="20" xfId="1" applyNumberFormat="1" applyFont="1" applyFill="1" applyBorder="1" applyAlignment="1">
      <x:alignment horizontal="general" vertical="center" shrinkToFit="1"/>
    </x:xf>
    <x:xf numFmtId="41" fontId="0" fillId="8" borderId="1" xfId="1" applyNumberFormat="1" applyFont="1" applyFill="1" applyBorder="1" applyAlignment="1">
      <x:alignment horizontal="general" vertical="center" shrinkToFit="1"/>
    </x:xf>
    <x:xf numFmtId="41" fontId="0" fillId="8" borderId="3" xfId="1" applyNumberFormat="1" applyFont="1" applyFill="1" applyBorder="1" applyAlignment="1">
      <x:alignment horizontal="general" vertical="center" shrinkToFit="1"/>
    </x:xf>
    <x:xf numFmtId="41" fontId="0" fillId="8" borderId="1" xfId="1" applyNumberFormat="1" applyFont="1" applyFill="1" applyBorder="1" applyAlignment="1">
      <x:alignment horizontal="general" vertical="center" shrinkToFit="1"/>
    </x:xf>
    <x:xf numFmtId="41" fontId="0" fillId="8" borderId="2" xfId="1" applyNumberFormat="1" applyFont="1" applyFill="1" applyBorder="1" applyAlignment="1">
      <x:alignment horizontal="general" vertical="center" shrinkToFit="1"/>
    </x:xf>
    <x:xf numFmtId="41" fontId="0" fillId="0" borderId="18" xfId="1" applyNumberFormat="1" applyFont="1" applyBorder="1" applyAlignment="1">
      <x:alignment horizontal="general" vertical="center" shrinkToFit="1"/>
    </x:xf>
    <x:xf numFmtId="41" fontId="0" fillId="0" borderId="13" xfId="1" applyNumberFormat="1" applyFont="1" applyBorder="1" applyAlignment="1">
      <x:alignment horizontal="general" vertical="center" shrinkToFit="1"/>
    </x:xf>
    <x:xf numFmtId="41" fontId="7" fillId="0" borderId="11" xfId="1" applyNumberFormat="1" applyFont="1" applyBorder="1" applyAlignment="1">
      <x:alignment horizontal="general" vertical="center" shrinkToFit="1"/>
    </x:xf>
    <x:xf numFmtId="41" fontId="7" fillId="0" borderId="12" xfId="1" applyNumberFormat="1" applyFont="1" applyBorder="1" applyAlignment="1">
      <x:alignment horizontal="general" vertical="center" shrinkToFit="1"/>
    </x:xf>
    <x:xf numFmtId="41" fontId="7" fillId="0" borderId="13" xfId="1" applyNumberFormat="1" applyFont="1" applyBorder="1" applyAlignment="1">
      <x:alignment horizontal="general" vertical="center" shrinkToFit="1"/>
    </x:xf>
    <x:xf numFmtId="0" fontId="0" fillId="0" borderId="17" xfId="0" applyNumberFormat="1" applyFont="1" applyBorder="1" applyAlignment="1">
      <x:alignment horizontal="general" vertical="center" shrinkToFit="1"/>
    </x:xf>
    <x:xf numFmtId="41" fontId="0" fillId="0" borderId="12" xfId="1" applyNumberFormat="1" applyFont="1" applyBorder="1" applyAlignment="1">
      <x:alignment horizontal="general" vertical="center" shrinkToFit="1"/>
    </x:xf>
    <x:xf numFmtId="41" fontId="0" fillId="0" borderId="13" xfId="1" applyNumberFormat="1" applyFont="1" applyBorder="1" applyAlignment="1">
      <x:alignment horizontal="general" vertical="center" shrinkToFit="1"/>
    </x:xf>
    <x:xf numFmtId="41" fontId="7" fillId="0" borderId="17" xfId="1" applyNumberFormat="1" applyFont="1" applyBorder="1" applyAlignment="1">
      <x:alignment horizontal="general" vertical="center" shrinkToFit="1"/>
    </x:xf>
    <x:xf numFmtId="0" fontId="7" fillId="0" borderId="20" xfId="0" applyNumberFormat="1" applyFont="1" applyBorder="1" applyAlignment="1">
      <x:alignment horizontal="general" vertical="center" shrinkToFit="1"/>
    </x:xf>
    <x:xf numFmtId="0" fontId="0" fillId="6" borderId="1" xfId="0" applyNumberFormat="1" applyFont="1" applyFill="1" applyBorder="1" applyAlignment="1">
      <x:alignment horizontal="general" vertical="center" shrinkToFit="1"/>
    </x:xf>
    <x:xf numFmtId="0" fontId="0" fillId="6" borderId="1" xfId="0" applyNumberFormat="1" applyFont="1" applyFill="1" applyBorder="1" applyAlignment="1">
      <x:alignment horizontal="general" vertical="center" shrinkToFit="1"/>
    </x:xf>
    <x:xf numFmtId="0" fontId="0" fillId="6" borderId="11" xfId="0" applyNumberForma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x:xf numFmtId="0" fontId="0" fillId="6" borderId="20" xfId="0" applyNumberFormat="1" applyFill="1" applyBorder="1" applyAlignment="1">
      <x:alignment horizontal="general" vertical="center" shrinkToFit="1"/>
    </x:xf>
    <x:xf numFmtId="41" fontId="0" fillId="6" borderId="20" xfId="1" applyNumberFormat="1" applyFont="1" applyFill="1" applyBorder="1" applyAlignment="1">
      <x:alignment horizontal="general" vertical="center" shrinkToFit="1"/>
    </x:xf>
    <x:xf numFmtId="41" fontId="0" fillId="6" borderId="20" xfId="1" applyNumberFormat="1" applyFont="1" applyFill="1" applyBorder="1" applyAlignment="1">
      <x:alignment horizontal="general" vertical="center" shrinkToFit="1"/>
    </x:xf>
    <x:xf numFmtId="41" fontId="7" fillId="6" borderId="3" xfId="1" applyNumberFormat="1" applyFont="1" applyFill="1" applyBorder="1" applyAlignment="1">
      <x:alignment horizontal="general" vertical="center" shrinkToFit="1"/>
    </x:xf>
    <x:xf numFmtId="41" fontId="0" fillId="6" borderId="2" xfId="1" applyNumberFormat="1" applyFont="1" applyFill="1" applyBorder="1" applyAlignment="1">
      <x:alignment horizontal="general" vertical="center" shrinkToFit="1"/>
    </x:xf>
    <x:xf numFmtId="41" fontId="0" fillId="6" borderId="3" xfId="1" applyNumberFormat="1" applyFont="1" applyFill="1" applyBorder="1" applyAlignment="1">
      <x:alignment horizontal="general" vertical="center" shrinkToFit="1"/>
    </x:xf>
    <x:xf numFmtId="41" fontId="0" fillId="0" borderId="19" xfId="1" applyNumberFormat="1" applyFont="1" applyBorder="1" applyAlignment="1">
      <x:alignment horizontal="general" vertical="center" shrinkToFit="1"/>
    </x:xf>
    <x:xf numFmtId="41" fontId="0" fillId="6" borderId="18" xfId="1" applyNumberFormat="1" applyFont="1" applyFill="1" applyBorder="1" applyAlignment="1">
      <x:alignment horizontal="general" vertical="center" shrinkToFit="1"/>
    </x:xf>
    <x:xf numFmtId="41" fontId="0" fillId="6" borderId="13" xfId="1" applyNumberFormat="1" applyFont="1" applyFill="1" applyBorder="1" applyAlignment="1">
      <x:alignment horizontal="general" vertical="center" shrinkToFit="1"/>
    </x:xf>
    <x:xf numFmtId="41" fontId="0" fillId="6" borderId="3" xfId="1" applyNumberFormat="1" applyFont="1" applyFill="1" applyBorder="1" applyAlignment="1">
      <x:alignment horizontal="general" vertical="center" shrinkToFit="1"/>
    </x:xf>
    <x:xf numFmtId="41" fontId="0" fillId="0" borderId="11" xfId="1" applyNumberFormat="1" applyFont="1" applyBorder="1" applyAlignment="1">
      <x:alignment horizontal="general" vertical="center" shrinkToFit="1"/>
    </x:xf>
    <x:xf numFmtId="41" fontId="0" fillId="0" borderId="1" xfId="1" applyNumberFormat="1" applyFont="1" applyBorder="1" applyAlignment="1">
      <x:alignment horizontal="general" vertical="center" shrinkToFit="1"/>
    </x:xf>
    <x:xf numFmtId="41" fontId="6" fillId="2" borderId="1" xfId="1" applyNumberFormat="1" applyFont="1" applyFill="1" applyBorder="1" applyAlignment="1">
      <x:alignment horizontal="general" vertical="center" shrinkToFit="1"/>
    </x:xf>
    <x:xf numFmtId="41" fontId="0" fillId="0" borderId="1" xfId="1" applyNumberFormat="1" applyFont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5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5" xfId="3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0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0" xfId="3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3" applyNumberFormat="1" applyFont="1" applyBorder="1" applyAlignment="1" hs:applyExtension="1">
          <x:alignment horizontal="center" vertical="center" textRotation="255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3" applyNumberFormat="1" applyFont="1" applyBorder="1" applyAlignment="1">
          <x:alignment horizontal="center" vertical="center" textRotation="255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15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15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6" fillId="5" borderId="2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6" fillId="5" borderId="2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3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3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3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3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3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3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3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3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1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1" xfId="1" applyNumberFormat="1" applyFont="1" applyBorder="1" applyAlignment="1">
          <x:alignment horizontal="center" vertical="center"/>
        </x:xf>
      </mc:Fallback>
    </mc:AlternateContent>
  </x:cellXfs>
  <x:cellStyles count="4">
    <x:cellStyle name="표준" xfId="0" builtinId="0"/>
    <x:cellStyle name="쉼표 [0]" xfId="1" builtinId="6"/>
    <x:cellStyle name="통화" xfId="2" builtinId="4"/>
    <x:cellStyle name="표준 118" xfId="3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worksheet" Target="worksheets/sheet45.xml"  /><Relationship Id="rId49" Type="http://schemas.openxmlformats.org/officeDocument/2006/relationships/worksheet" Target="worksheets/sheet46.xml"  /><Relationship Id="rId5" Type="http://schemas.openxmlformats.org/officeDocument/2006/relationships/worksheet" Target="worksheets/sheet2.xml"  /><Relationship Id="rId50" Type="http://schemas.openxmlformats.org/officeDocument/2006/relationships/worksheet" Target="worksheets/sheet47.xml"  /><Relationship Id="rId51" Type="http://schemas.openxmlformats.org/officeDocument/2006/relationships/worksheet" Target="worksheets/sheet48.xml"  /><Relationship Id="rId52" Type="http://schemas.openxmlformats.org/officeDocument/2006/relationships/worksheet" Target="worksheets/sheet49.xml"  /><Relationship Id="rId53" Type="http://schemas.openxmlformats.org/officeDocument/2006/relationships/worksheet" Target="worksheets/sheet50.xml"  /><Relationship Id="rId54" Type="http://schemas.openxmlformats.org/officeDocument/2006/relationships/worksheet" Target="worksheets/sheet51.xml"  /><Relationship Id="rId55" Type="http://schemas.openxmlformats.org/officeDocument/2006/relationships/worksheet" Target="worksheets/sheet52.xml"  /><Relationship Id="rId56" Type="http://schemas.openxmlformats.org/officeDocument/2006/relationships/worksheet" Target="worksheets/sheet53.xml"  /><Relationship Id="rId57" Type="http://schemas.openxmlformats.org/officeDocument/2006/relationships/worksheet" Target="worksheets/sheet54.xml"  /><Relationship Id="rId58" Type="http://schemas.openxmlformats.org/officeDocument/2006/relationships/worksheet" Target="worksheets/sheet55.xml"  /><Relationship Id="rId59" Type="http://schemas.openxmlformats.org/officeDocument/2006/relationships/worksheet" Target="worksheets/sheet56.xml"  /><Relationship Id="rId6" Type="http://schemas.openxmlformats.org/officeDocument/2006/relationships/worksheet" Target="worksheets/sheet3.xml"  /><Relationship Id="rId60" Type="http://schemas.openxmlformats.org/officeDocument/2006/relationships/worksheet" Target="worksheets/sheet57.xml"  /><Relationship Id="rId61" Type="http://schemas.openxmlformats.org/officeDocument/2006/relationships/worksheet" Target="worksheets/sheet58.xml"  /><Relationship Id="rId62" Type="http://schemas.openxmlformats.org/officeDocument/2006/relationships/worksheet" Target="worksheets/sheet59.xml"  /><Relationship Id="rId63" Type="http://schemas.openxmlformats.org/officeDocument/2006/relationships/worksheet" Target="worksheets/sheet60.xml"  /><Relationship Id="rId64" Type="http://schemas.openxmlformats.org/officeDocument/2006/relationships/worksheet" Target="worksheets/sheet61.xml"  /><Relationship Id="rId65" Type="http://schemas.openxmlformats.org/officeDocument/2006/relationships/worksheet" Target="worksheets/sheet62.xml"  /><Relationship Id="rId66" Type="http://schemas.openxmlformats.org/officeDocument/2006/relationships/worksheet" Target="worksheets/sheet63.xml"  /><Relationship Id="rId67" Type="http://schemas.openxmlformats.org/officeDocument/2006/relationships/worksheet" Target="worksheets/sheet64.xml"  /><Relationship Id="rId68" Type="http://schemas.openxmlformats.org/officeDocument/2006/relationships/worksheet" Target="worksheets/sheet65.xml"  /><Relationship Id="rId69" Type="http://schemas.openxmlformats.org/officeDocument/2006/relationships/worksheet" Target="worksheets/sheet66.xml"  /><Relationship Id="rId7" Type="http://schemas.openxmlformats.org/officeDocument/2006/relationships/worksheet" Target="worksheets/sheet4.xml"  /><Relationship Id="rId70" Type="http://schemas.openxmlformats.org/officeDocument/2006/relationships/worksheet" Target="worksheets/sheet67.xml"  /><Relationship Id="rId71" Type="http://schemas.openxmlformats.org/officeDocument/2006/relationships/worksheet" Target="worksheets/sheet68.xml"  /><Relationship Id="rId72" Type="http://schemas.openxmlformats.org/officeDocument/2006/relationships/worksheet" Target="worksheets/sheet69.xml"  /><Relationship Id="rId73" Type="http://schemas.openxmlformats.org/officeDocument/2006/relationships/worksheet" Target="worksheets/sheet70.xml"  /><Relationship Id="rId74" Type="http://schemas.openxmlformats.org/officeDocument/2006/relationships/worksheet" Target="worksheets/sheet71.xml"  /><Relationship Id="rId75" Type="http://schemas.openxmlformats.org/officeDocument/2006/relationships/worksheet" Target="worksheets/sheet72.xml"  /><Relationship Id="rId76" Type="http://schemas.openxmlformats.org/officeDocument/2006/relationships/worksheet" Target="worksheets/sheet73.xml"  /><Relationship Id="rId77" Type="http://schemas.openxmlformats.org/officeDocument/2006/relationships/worksheet" Target="worksheets/sheet74.xml"  /><Relationship Id="rId78" Type="http://schemas.openxmlformats.org/officeDocument/2006/relationships/worksheet" Target="worksheets/sheet75.xml"  /><Relationship Id="rId79" Type="http://schemas.openxmlformats.org/officeDocument/2006/relationships/worksheet" Target="worksheets/sheet76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vmlDrawing1.vml.rels><?xml version="1.0" encoding="UTF-8" standalone="yes" ?><Relationships xmlns="http://schemas.openxmlformats.org/package/2006/relationships"><Relationship Id="rId1" Type="http://schemas.openxmlformats.org/officeDocument/2006/relationships/image" Target="../media/image0.emf"  /></Relationships>
</file>

<file path=xl/drawings/_rels/vmlDrawing2.vml.rels><?xml version="1.0" encoding="UTF-8" standalone="yes" ?><Relationships xmlns="http://schemas.openxmlformats.org/package/2006/relationships"><Relationship Id="rId1" Type="http://schemas.openxmlformats.org/officeDocument/2006/relationships/image" Target="../media/image1.emf"  /></Relationships>
</file>

<file path=xl/drawings/_rels/vmlDrawing3.vml.rels><?xml version="1.0" encoding="UTF-8" standalone="yes" ?><Relationships xmlns="http://schemas.openxmlformats.org/package/2006/relationships"><Relationship Id="rId1" Type="http://schemas.openxmlformats.org/officeDocument/2006/relationships/image" Target="../media/image2.emf"  /></Relationships>
</file>

<file path=xl/drawings/_rels/vmlDrawing4.vml.rels><?xml version="1.0" encoding="UTF-8" standalone="yes" ?><Relationships xmlns="http://schemas.openxmlformats.org/package/2006/relationships"><Relationship Id="rId1" Type="http://schemas.openxmlformats.org/officeDocument/2006/relationships/image" Target="../media/image3.emf"  /></Relationships>
</file>

<file path=xl/drawings/_rels/vmlDrawing5.vml.rels><?xml version="1.0" encoding="UTF-8" standalone="yes" ?><Relationships xmlns="http://schemas.openxmlformats.org/package/2006/relationships"><Relationship Id="rId1" Type="http://schemas.openxmlformats.org/officeDocument/2006/relationships/image" Target="../media/image4.emf"  /></Relationships>
</file>

<file path=xl/drawings/_rels/vmlDrawing6.vml.rels><?xml version="1.0" encoding="UTF-8" standalone="yes" ?><Relationships xmlns="http://schemas.openxmlformats.org/package/2006/relationships"><Relationship Id="rId1" Type="http://schemas.openxmlformats.org/officeDocument/2006/relationships/image" Target="../media/image5.emf"  /></Relationships>
</file>

<file path=xl/drawings/_rels/vmlDrawing7.vml.rels><?xml version="1.0" encoding="UTF-8" standalone="yes" ?><Relationships xmlns="http://schemas.openxmlformats.org/package/2006/relationships"><Relationship Id="rId1" Type="http://schemas.openxmlformats.org/officeDocument/2006/relationships/image" Target="../media/image6.emf"  /></Relationships>
</file>

<file path=xl/drawings/_rels/vmlDrawing8.vml.rels><?xml version="1.0" encoding="UTF-8" standalone="yes" ?><Relationships xmlns="http://schemas.openxmlformats.org/package/2006/relationships"><Relationship Id="rId1" Type="http://schemas.openxmlformats.org/officeDocument/2006/relationships/image" Target="../media/image7.emf"  /></Relationships>
</file>

<file path=xl/drawings/_rels/vmlDrawing9.vml.rels><?xml version="1.0" encoding="UTF-8" standalone="yes" ?><Relationships xmlns="http://schemas.openxmlformats.org/package/2006/relationships"><Relationship Id="rId1" Type="http://schemas.openxmlformats.org/officeDocument/2006/relationships/image" Target="../media/image8.emf"  /></Relationships>
</file>

<file path=xl/drawings/_rels/vmlDrawing10.vml.rels><?xml version="1.0" encoding="UTF-8" standalone="yes" ?><Relationships xmlns="http://schemas.openxmlformats.org/package/2006/relationships"><Relationship Id="rId1" Type="http://schemas.openxmlformats.org/officeDocument/2006/relationships/image" Target="../media/image9.emf"  /></Relationships>
</file>

<file path=xl/drawings/_rels/vmlDrawing11.vml.rels><?xml version="1.0" encoding="UTF-8" standalone="yes" ?><Relationships xmlns="http://schemas.openxmlformats.org/package/2006/relationships"><Relationship Id="rId1" Type="http://schemas.openxmlformats.org/officeDocument/2006/relationships/image" Target="../media/image10.emf"  /></Relationships>
</file>

<file path=xl/drawings/_rels/vmlDrawing12.vml.rels><?xml version="1.0" encoding="UTF-8" standalone="yes" ?><Relationships xmlns="http://schemas.openxmlformats.org/package/2006/relationships"><Relationship Id="rId1" Type="http://schemas.openxmlformats.org/officeDocument/2006/relationships/image" Target="../media/image11.emf"  /></Relationships>
</file>

<file path=xl/drawings/_rels/vmlDrawing13.vml.rels><?xml version="1.0" encoding="UTF-8" standalone="yes" ?><Relationships xmlns="http://schemas.openxmlformats.org/package/2006/relationships"><Relationship Id="rId1" Type="http://schemas.openxmlformats.org/officeDocument/2006/relationships/image" Target="../media/image12.emf"  /></Relationships>
</file>

<file path=xl/drawings/_rels/vmlDrawing14.vml.rels><?xml version="1.0" encoding="UTF-8" standalone="yes" ?><Relationships xmlns="http://schemas.openxmlformats.org/package/2006/relationships"><Relationship Id="rId1" Type="http://schemas.openxmlformats.org/officeDocument/2006/relationships/image" Target="../media/image13.emf"  /></Relationships>
</file>

<file path=xl/drawings/_rels/vmlDrawing15.vml.rels><?xml version="1.0" encoding="UTF-8" standalone="yes" ?><Relationships xmlns="http://schemas.openxmlformats.org/package/2006/relationships"><Relationship Id="rId1" Type="http://schemas.openxmlformats.org/officeDocument/2006/relationships/image" Target="../media/image14.emf"  /></Relationships>
</file>

<file path=xl/drawings/_rels/vmlDrawing16.vml.rels><?xml version="1.0" encoding="UTF-8" standalone="yes" ?><Relationships xmlns="http://schemas.openxmlformats.org/package/2006/relationships"><Relationship Id="rId1" Type="http://schemas.openxmlformats.org/officeDocument/2006/relationships/image" Target="../media/image15.emf"  /></Relationships>
</file>

<file path=xl/drawings/_rels/vmlDrawing17.vml.rels><?xml version="1.0" encoding="UTF-8" standalone="yes" ?><Relationships xmlns="http://schemas.openxmlformats.org/package/2006/relationships"><Relationship Id="rId1" Type="http://schemas.openxmlformats.org/officeDocument/2006/relationships/image" Target="../media/image16.emf"  /></Relationships>
</file>

<file path=xl/drawings/_rels/vmlDrawing18.vml.rels><?xml version="1.0" encoding="UTF-8" standalone="yes" ?><Relationships xmlns="http://schemas.openxmlformats.org/package/2006/relationships"><Relationship Id="rId1" Type="http://schemas.openxmlformats.org/officeDocument/2006/relationships/image" Target="../media/image17.emf"  /></Relationships>
</file>

<file path=xl/drawings/_rels/vmlDrawing20.vml.rels><?xml version="1.0" encoding="UTF-8" standalone="yes" ?><Relationships xmlns="http://schemas.openxmlformats.org/package/2006/relationships"><Relationship Id="rId1" Type="http://schemas.openxmlformats.org/officeDocument/2006/relationships/image" Target="../media/image18.emf"  /></Relationships>
</file>

<file path=xl/drawings/_rels/vmlDrawing21.vml.rels><?xml version="1.0" encoding="UTF-8" standalone="yes" ?><Relationships xmlns="http://schemas.openxmlformats.org/package/2006/relationships"><Relationship Id="rId1" Type="http://schemas.openxmlformats.org/officeDocument/2006/relationships/image" Target="../media/image19.emf"  /></Relationships>
</file>

<file path=xl/drawings/_rels/vmlDrawing22.vml.rels><?xml version="1.0" encoding="UTF-8" standalone="yes" ?><Relationships xmlns="http://schemas.openxmlformats.org/package/2006/relationships"><Relationship Id="rId1" Type="http://schemas.openxmlformats.org/officeDocument/2006/relationships/image" Target="../media/image20.emf"  /></Relationships>
</file>

<file path=xl/drawings/_rels/vmlDrawing23.vml.rels><?xml version="1.0" encoding="UTF-8" standalone="yes" ?><Relationships xmlns="http://schemas.openxmlformats.org/package/2006/relationships"><Relationship Id="rId1" Type="http://schemas.openxmlformats.org/officeDocument/2006/relationships/image" Target="../media/image21.emf"  /></Relationships>
</file>

<file path=xl/drawings/_rels/vmlDrawing24.vml.rels><?xml version="1.0" encoding="UTF-8" standalone="yes" ?><Relationships xmlns="http://schemas.openxmlformats.org/package/2006/relationships"><Relationship Id="rId1" Type="http://schemas.openxmlformats.org/officeDocument/2006/relationships/image" Target="../media/image22.emf"  /></Relationships>
</file>

<file path=xl/drawings/_rels/vmlDrawing25.vml.rels><?xml version="1.0" encoding="UTF-8" standalone="yes" ?><Relationships xmlns="http://schemas.openxmlformats.org/package/2006/relationships"><Relationship Id="rId1" Type="http://schemas.openxmlformats.org/officeDocument/2006/relationships/image" Target="../media/image23.emf"  /></Relationships>
</file>

<file path=xl/drawings/_rels/vmlDrawing26.vml.rels><?xml version="1.0" encoding="UTF-8" standalone="yes" ?><Relationships xmlns="http://schemas.openxmlformats.org/package/2006/relationships"><Relationship Id="rId1" Type="http://schemas.openxmlformats.org/officeDocument/2006/relationships/image" Target="../media/image24.emf"  /></Relationships>
</file>

<file path=xl/drawings/_rels/vmlDrawing27.vml.rels><?xml version="1.0" encoding="UTF-8" standalone="yes" ?><Relationships xmlns="http://schemas.openxmlformats.org/package/2006/relationships"><Relationship Id="rId1" Type="http://schemas.openxmlformats.org/officeDocument/2006/relationships/image" Target="../media/image25.emf"  /></Relationships>
</file>

<file path=xl/drawings/_rels/vmlDrawing28.vml.rels><?xml version="1.0" encoding="UTF-8" standalone="yes" ?><Relationships xmlns="http://schemas.openxmlformats.org/package/2006/relationships"><Relationship Id="rId1" Type="http://schemas.openxmlformats.org/officeDocument/2006/relationships/image" Target="../media/image26.emf"  /></Relationships>
</file>

<file path=xl/drawings/_rels/vmlDrawing29.vml.rels><?xml version="1.0" encoding="UTF-8" standalone="yes" ?><Relationships xmlns="http://schemas.openxmlformats.org/package/2006/relationships"><Relationship Id="rId1" Type="http://schemas.openxmlformats.org/officeDocument/2006/relationships/image" Target="../media/image27.emf"  /></Relationships>
</file>

<file path=xl/drawings/_rels/vmlDrawing30.vml.rels><?xml version="1.0" encoding="UTF-8" standalone="yes" ?><Relationships xmlns="http://schemas.openxmlformats.org/package/2006/relationships"><Relationship Id="rId1" Type="http://schemas.openxmlformats.org/officeDocument/2006/relationships/image" Target="../media/image28.emf"  /></Relationships>
</file>

<file path=xl/drawings/_rels/vmlDrawing31.vml.rels><?xml version="1.0" encoding="UTF-8" standalone="yes" ?><Relationships xmlns="http://schemas.openxmlformats.org/package/2006/relationships"><Relationship Id="rId1" Type="http://schemas.openxmlformats.org/officeDocument/2006/relationships/image" Target="../media/image29.emf"  /></Relationships>
</file>

<file path=xl/drawings/_rels/vmlDrawing32.vml.rels><?xml version="1.0" encoding="UTF-8" standalone="yes" ?><Relationships xmlns="http://schemas.openxmlformats.org/package/2006/relationships"><Relationship Id="rId1" Type="http://schemas.openxmlformats.org/officeDocument/2006/relationships/image" Target="../media/image30.emf"  /></Relationships>
</file>

<file path=xl/drawings/_rels/vmlDrawing33.vml.rels><?xml version="1.0" encoding="UTF-8" standalone="yes" ?><Relationships xmlns="http://schemas.openxmlformats.org/package/2006/relationships"><Relationship Id="rId1" Type="http://schemas.openxmlformats.org/officeDocument/2006/relationships/image" Target="../media/image31.emf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.v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3.v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4.v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5.v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6.v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7.v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8.v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9.v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0.v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1.vml"  /></Relationships>
</file>

<file path=xl/worksheets/_rels/sheet3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2.vml"  /></Relationships>
</file>

<file path=xl/worksheets/_rels/sheet3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3.vml"  /></Relationships>
</file>

<file path=xl/worksheets/_rels/sheet3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4.vml"  /></Relationships>
</file>

<file path=xl/worksheets/_rels/sheet4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5.vml"  /></Relationships>
</file>

<file path=xl/worksheets/_rels/sheet4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6.vml"  /></Relationships>
</file>

<file path=xl/worksheets/_rels/sheet4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7.vml"  /></Relationships>
</file>

<file path=xl/worksheets/_rels/sheet4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8.vml"  /></Relationships>
</file>

<file path=xl/worksheets/_rels/sheet48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9.vml"  /><Relationship Id="rId2" Type="http://schemas.openxmlformats.org/officeDocument/2006/relationships/comments" Target="../comments1.xml"  /></Relationships>
</file>

<file path=xl/worksheets/_rels/sheet4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0.vml"  /></Relationships>
</file>

<file path=xl/worksheets/_rels/sheet5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1.vml"  /></Relationships>
</file>

<file path=xl/worksheets/_rels/sheet5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2.vml"  /></Relationships>
</file>

<file path=xl/worksheets/_rels/sheet5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3.vml"  /></Relationships>
</file>

<file path=xl/worksheets/_rels/sheet5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4.vml"  /></Relationships>
</file>

<file path=xl/worksheets/_rels/sheet5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5.vml"  /></Relationships>
</file>

<file path=xl/worksheets/_rels/sheet6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6.vml"  /></Relationships>
</file>

<file path=xl/worksheets/_rels/sheet6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7.vml"  /></Relationships>
</file>

<file path=xl/worksheets/_rels/sheet6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8.vml"  /></Relationships>
</file>

<file path=xl/worksheets/_rels/sheet6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9.vml"  /></Relationships>
</file>

<file path=xl/worksheets/_rels/sheet69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30.vml"  /></Relationships>
</file>

<file path=xl/worksheets/_rels/sheet7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31.vml"  /></Relationships>
</file>

<file path=xl/worksheets/_rels/sheet73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32.vml"  /></Relationships>
</file>

<file path=xl/worksheets/_rels/sheet7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33.v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N41"/>
  <x:sheetViews>
    <x:sheetView view="pageBreakPreview" topLeftCell="A1" zoomScaleNormal="100" zoomScaleSheetLayoutView="100" workbookViewId="0">
      <x:selection activeCell="I14" activeCellId="0" sqref="I14:I1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1738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17" t="s">
        <x:v>151</x:v>
      </x:c>
      <x:c r="B4" s="38" t="s">
        <x:v>1679</x:v>
      </x:c>
      <x:c r="C4" s="38" t="s">
        <x:v>156</x:v>
      </x:c>
      <x:c r="D4" s="39">
        <x:v>136363636</x:v>
      </x:c>
      <x:c r="E4" s="39">
        <x:f>+D4*0.1</x:f>
        <x:v>13636363.600000001</x:v>
      </x:c>
      <x:c r="F4" s="40">
        <x:f>+D4+E4</x:f>
        <x:v>149999999.59999999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f>28630000+124100000</x:f>
        <x:v>152730000</x:v>
      </x:c>
      <x:c r="L4" s="39">
        <x:f>1370000+5900000</x:f>
        <x:v>7270000</x:v>
      </x:c>
      <x:c r="M4" s="40">
        <x:f>+K4+L4</x:f>
        <x:v>160000000</x:v>
      </x:c>
      <x:c r="N4" s="42"/>
    </x:row>
    <x:row r="5" spans="1:14" ht="20.100000000000001" customHeight="1">
      <x:c r="A5" s="298" t="s">
        <x:v>148</x:v>
      </x:c>
      <x:c r="B5" s="19" t="s">
        <x:v>1689</x:v>
      </x:c>
      <x:c r="C5" s="19" t="s">
        <x:v>323</x:v>
      </x:c>
      <x:c r="D5" s="20">
        <x:v>885856</x:v>
      </x:c>
      <x:c r="E5" s="20">
        <x:f>+D5*0.1-1</x:f>
        <x:v>88584.600000000006</x:v>
      </x:c>
      <x:c r="F5" s="21">
        <x:f>+D5+E5</x:f>
        <x:v>974440.59999999998</x:v>
      </x:c>
      <x:c r="G5" s="22"/>
      <x:c r="H5" s="298" t="s">
        <x:v>148</x:v>
      </x:c>
      <x:c r="I5" s="19" t="s">
        <x:v>1689</x:v>
      </x:c>
      <x:c r="J5" s="19" t="s">
        <x:v>1682</x:v>
      </x:c>
      <x:c r="K5" s="20">
        <x:v>3857000</x:v>
      </x:c>
      <x:c r="L5" s="20">
        <x:f>+K5*0.1</x:f>
        <x:v>385700</x:v>
      </x:c>
      <x:c r="M5" s="21">
        <x:f t="shared" ref="M5:M25" si="0">+K5+L5</x:f>
        <x:v>4242700</x:v>
      </x:c>
      <x:c r="N5" s="22"/>
    </x:row>
    <x:row r="6" spans="1:14" ht="20.100000000000001" customHeight="1">
      <x:c r="A6" s="299"/>
      <x:c r="B6" s="3" t="s">
        <x:v>34</x:v>
      </x:c>
      <x:c r="C6" s="3" t="s">
        <x:v>1686</x:v>
      </x:c>
      <x:c r="D6" s="4">
        <x:v>135800</x:v>
      </x:c>
      <x:c r="E6" s="4">
        <x:f>+D6*0.1</x:f>
        <x:v>13580</x:v>
      </x:c>
      <x:c r="F6" s="5">
        <x:f>+D6+E6</x:f>
        <x:v>149380</x:v>
      </x:c>
      <x:c r="G6" s="6"/>
      <x:c r="H6" s="299"/>
      <x:c r="I6" s="3" t="s">
        <x:v>34</x:v>
      </x:c>
      <x:c r="J6" s="3" t="s">
        <x:v>1686</x:v>
      </x:c>
      <x:c r="K6" s="4">
        <x:v>1789790</x:v>
      </x:c>
      <x:c r="L6" s="4">
        <x:f>+K6*0.1-1</x:f>
        <x:v>178978</x:v>
      </x:c>
      <x:c r="M6" s="5">
        <x:f t="shared" si="0"/>
        <x:v>1968768</x:v>
      </x:c>
      <x:c r="N6" s="6"/>
    </x:row>
    <x:row r="7" spans="1:14" ht="20.100000000000001" customHeight="1">
      <x:c r="A7" s="299"/>
      <x:c r="B7" s="3" t="s">
        <x:v>1716</x:v>
      </x:c>
      <x:c r="C7" s="3" t="s">
        <x:v>1715</x:v>
      </x:c>
      <x:c r="D7" s="4">
        <x:v>902730</x:v>
      </x:c>
      <x:c r="E7" s="4">
        <x:f>+D7*0.1</x:f>
        <x:v>90273</x:v>
      </x:c>
      <x:c r="F7" s="5">
        <x:f>+D7+E7</x:f>
        <x:v>993003</x:v>
      </x:c>
      <x:c r="G7" s="6"/>
      <x:c r="H7" s="299"/>
      <x:c r="I7" s="3" t="s">
        <x:v>1688</x:v>
      </x:c>
      <x:c r="J7" s="3" t="s">
        <x:v>1691</x:v>
      </x:c>
      <x:c r="K7" s="4">
        <x:v>36684000</x:v>
      </x:c>
      <x:c r="L7" s="4">
        <x:f t="shared" ref="L7:L25" si="1">+K7*0.1</x:f>
        <x:v>3668400</x:v>
      </x:c>
      <x:c r="M7" s="5">
        <x:f>+K7+L7</x:f>
        <x:v>40352400</x:v>
      </x:c>
      <x:c r="N7" s="6"/>
    </x:row>
    <x:row r="8" spans="1:14" ht="20.100000000000001" customHeight="1">
      <x:c r="A8" s="299"/>
      <x:c r="B8" s="3" t="s">
        <x:v>1716</x:v>
      </x:c>
      <x:c r="C8" s="3" t="s">
        <x:v>180</x:v>
      </x:c>
      <x:c r="D8" s="4">
        <x:v>155325</x:v>
      </x:c>
      <x:c r="E8" s="4">
        <x:f t="shared" ref="E8:E19" si="2">+D8*0.1</x:f>
        <x:v>15532.5</x:v>
      </x:c>
      <x:c r="F8" s="5">
        <x:f t="shared" ref="F8:F18" si="3">+D8+E8</x:f>
        <x:v>170857.5</x:v>
      </x:c>
      <x:c r="G8" s="6"/>
      <x:c r="H8" s="299"/>
      <x:c r="I8" s="3" t="s">
        <x:v>1692</x:v>
      </x:c>
      <x:c r="J8" s="3" t="s">
        <x:v>36</x:v>
      </x:c>
      <x:c r="K8" s="4">
        <x:v>745000</x:v>
      </x:c>
      <x:c r="L8" s="4">
        <x:f t="shared" si="1"/>
        <x:v>74500</x:v>
      </x:c>
      <x:c r="M8" s="5">
        <x:f t="shared" si="0"/>
        <x:v>819500</x:v>
      </x:c>
      <x:c r="N8" s="6"/>
    </x:row>
    <x:row r="9" spans="1:14" ht="20.100000000000001" customHeight="1">
      <x:c r="A9" s="299"/>
      <x:c r="B9" s="3" t="s">
        <x:v>1710</x:v>
      </x:c>
      <x:c r="C9" s="3" t="s">
        <x:v>1711</x:v>
      </x:c>
      <x:c r="D9" s="4">
        <x:f>1226490+746802</x:f>
        <x:v>1973292</x:v>
      </x:c>
      <x:c r="E9" s="4">
        <x:f>122647+74680</x:f>
        <x:v>197327</x:v>
      </x:c>
      <x:c r="F9" s="5">
        <x:f>+D9+E9</x:f>
        <x:v>2170619</x:v>
      </x:c>
      <x:c r="G9" s="6"/>
      <x:c r="H9" s="299"/>
      <x:c r="I9" s="3"/>
      <x:c r="J9" s="3"/>
      <x:c r="K9" s="4"/>
      <x:c r="L9" s="4">
        <x:f t="shared" si="1"/>
        <x:v>0</x:v>
      </x:c>
      <x:c r="M9" s="5">
        <x:f>+K9+L9</x:f>
        <x:v>0</x:v>
      </x:c>
      <x:c r="N9" s="6"/>
    </x:row>
    <x:row r="10" spans="1:14" ht="20.100000000000001" customHeight="1">
      <x:c r="A10" s="299"/>
      <x:c r="B10" s="3" t="s">
        <x:v>165</x:v>
      </x:c>
      <x:c r="C10" s="3" t="s">
        <x:v>1704</x:v>
      </x:c>
      <x:c r="D10" s="4">
        <x:f>22824000+29648180</x:f>
        <x:v>52472180</x:v>
      </x:c>
      <x:c r="E10" s="4">
        <x:f t="shared" si="2"/>
        <x:v>5247218</x:v>
      </x:c>
      <x:c r="F10" s="5">
        <x:f t="shared" si="3"/>
        <x:v>57719398</x:v>
      </x:c>
      <x:c r="G10" s="6"/>
      <x:c r="H10" s="299"/>
      <x:c r="I10" s="3"/>
      <x:c r="J10" s="3"/>
      <x:c r="K10" s="4"/>
      <x:c r="L10" s="4">
        <x:f t="shared" si="1"/>
        <x:v>0</x:v>
      </x:c>
      <x:c r="M10" s="5">
        <x:f t="shared" si="0"/>
        <x:v>0</x:v>
      </x:c>
      <x:c r="N10" s="6"/>
    </x:row>
    <x:row r="11" spans="1:14" ht="20.100000000000001" customHeight="1">
      <x:c r="A11" s="299"/>
      <x:c r="B11" s="3" t="s">
        <x:v>822</x:v>
      </x:c>
      <x:c r="C11" s="3" t="s">
        <x:v>1708</x:v>
      </x:c>
      <x:c r="D11" s="4">
        <x:v>7076156</x:v>
      </x:c>
      <x:c r="E11" s="4">
        <x:f>+D11*0.1-1</x:f>
        <x:v>707614.60000000009</x:v>
      </x:c>
      <x:c r="F11" s="5">
        <x:f t="shared" si="3"/>
        <x:v>7783770.5999999996</x:v>
      </x:c>
      <x:c r="G11" s="6"/>
      <x:c r="H11" s="299"/>
      <x:c r="I11" s="3"/>
      <x:c r="J11" s="3"/>
      <x:c r="K11" s="4"/>
      <x:c r="L11" s="4">
        <x:f t="shared" si="1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 t="s">
        <x:v>1698</x:v>
      </x:c>
      <x:c r="C12" s="3" t="s">
        <x:v>1709</x:v>
      </x:c>
      <x:c r="D12" s="4">
        <x:v>71285500</x:v>
      </x:c>
      <x:c r="E12" s="4">
        <x:f t="shared" si="2"/>
        <x:v>7128550</x:v>
      </x:c>
      <x:c r="F12" s="5">
        <x:f t="shared" si="3"/>
        <x:v>78414050</x:v>
      </x:c>
      <x:c r="G12" s="6"/>
      <x:c r="H12" s="299"/>
      <x:c r="I12" s="3"/>
      <x:c r="J12" s="3"/>
      <x:c r="K12" s="4"/>
      <x:c r="L12" s="4">
        <x:f t="shared" si="1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 t="s">
        <x:v>1696</x:v>
      </x:c>
      <x:c r="C13" s="3" t="s">
        <x:v>39</x:v>
      </x:c>
      <x:c r="D13" s="4">
        <x:v>28061583</x:v>
      </x:c>
      <x:c r="E13" s="4">
        <x:f t="shared" si="2"/>
        <x:v>2806158.3000000003</x:v>
      </x:c>
      <x:c r="F13" s="5">
        <x:f t="shared" si="3"/>
        <x:v>30867741.300000001</x:v>
      </x:c>
      <x:c r="G13" s="6"/>
      <x:c r="H13" s="299"/>
      <x:c r="I13" s="3"/>
      <x:c r="J13" s="3"/>
      <x:c r="K13" s="4"/>
      <x:c r="L13" s="4">
        <x:f t="shared" si="1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 t="s">
        <x:v>1688</x:v>
      </x:c>
      <x:c r="C14" s="3" t="s">
        <x:v>1691</x:v>
      </x:c>
      <x:c r="D14" s="4">
        <x:v>12084000</x:v>
      </x:c>
      <x:c r="E14" s="4">
        <x:f t="shared" si="2"/>
        <x:v>1208400</x:v>
      </x:c>
      <x:c r="F14" s="5">
        <x:f t="shared" si="3"/>
        <x:v>13292400</x:v>
      </x:c>
      <x:c r="G14" s="6" t="s">
        <x:v>166</x:v>
      </x:c>
      <x:c r="H14" s="299"/>
      <x:c r="I14" s="3"/>
      <x:c r="J14" s="3"/>
      <x:c r="K14" s="4"/>
      <x:c r="L14" s="4">
        <x:f t="shared" si="1"/>
        <x:v>0</x:v>
      </x:c>
      <x:c r="M14" s="5">
        <x:f>+K14+L14</x:f>
        <x:v>0</x:v>
      </x:c>
      <x:c r="N14" s="6"/>
    </x:row>
    <x:row r="15" spans="1:14" ht="20.100000000000001" customHeight="1">
      <x:c r="A15" s="299"/>
      <x:c r="B15" s="3" t="s">
        <x:v>1701</x:v>
      </x:c>
      <x:c r="C15" s="3" t="s">
        <x:v>1703</x:v>
      </x:c>
      <x:c r="D15" s="4">
        <x:v>6884510</x:v>
      </x:c>
      <x:c r="E15" s="4">
        <x:f t="shared" si="2"/>
        <x:v>688451</x:v>
      </x:c>
      <x:c r="F15" s="5">
        <x:f t="shared" si="3"/>
        <x:v>7572961</x:v>
      </x:c>
      <x:c r="G15" s="6"/>
      <x:c r="H15" s="299"/>
      <x:c r="I15" s="3"/>
      <x:c r="J15" s="3"/>
      <x:c r="K15" s="4"/>
      <x:c r="L15" s="4">
        <x:f t="shared" si="1"/>
        <x:v>0</x:v>
      </x:c>
      <x:c r="M15" s="5">
        <x:f>+K15+L15</x:f>
        <x:v>0</x:v>
      </x:c>
      <x:c r="N15" s="6"/>
    </x:row>
    <x:row r="16" spans="1:14" ht="20.100000000000001" customHeight="1">
      <x:c r="A16" s="299"/>
      <x:c r="B16" s="3" t="s">
        <x:v>1702</x:v>
      </x:c>
      <x:c r="C16" s="3" t="s">
        <x:v>168</x:v>
      </x:c>
      <x:c r="D16" s="4">
        <x:v>103560</x:v>
      </x:c>
      <x:c r="E16" s="4">
        <x:f t="shared" si="2"/>
        <x:v>10356</x:v>
      </x:c>
      <x:c r="F16" s="5">
        <x:f>+D16+E16</x:f>
        <x:v>113916</x:v>
      </x:c>
      <x:c r="G16" s="6"/>
      <x:c r="H16" s="299"/>
      <x:c r="I16" s="3"/>
      <x:c r="J16" s="3"/>
      <x:c r="K16" s="4"/>
      <x:c r="L16" s="4">
        <x:f t="shared" si="1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 t="s">
        <x:v>835</x:v>
      </x:c>
      <x:c r="C17" s="3" t="s">
        <x:v>813</x:v>
      </x:c>
      <x:c r="D17" s="4">
        <x:v>4060000</x:v>
      </x:c>
      <x:c r="E17" s="4">
        <x:f t="shared" si="2"/>
        <x:v>406000</x:v>
      </x:c>
      <x:c r="F17" s="5">
        <x:f>+D17+E17</x:f>
        <x:v>4466000</x:v>
      </x:c>
      <x:c r="G17" s="6"/>
      <x:c r="H17" s="299"/>
      <x:c r="I17" s="3"/>
      <x:c r="J17" s="3"/>
      <x:c r="K17" s="4"/>
      <x:c r="L17" s="4">
        <x:f t="shared" si="1"/>
        <x:v>0</x:v>
      </x:c>
      <x:c r="M17" s="5">
        <x:f>+K17+L17</x:f>
        <x:v>0</x:v>
      </x:c>
      <x:c r="N17" s="6"/>
    </x:row>
    <x:row r="18" spans="1:14" ht="20.100000000000001" customHeight="1">
      <x:c r="A18" s="299"/>
      <x:c r="B18" s="3" t="s">
        <x:v>1705</x:v>
      </x:c>
      <x:c r="C18" s="3" t="s">
        <x:v>1706</x:v>
      </x:c>
      <x:c r="D18" s="4">
        <x:v>152000</x:v>
      </x:c>
      <x:c r="E18" s="4">
        <x:f t="shared" si="2"/>
        <x:v>15200</x:v>
      </x:c>
      <x:c r="F18" s="5">
        <x:f t="shared" si="3"/>
        <x:v>167200</x:v>
      </x:c>
      <x:c r="G18" s="6"/>
      <x:c r="H18" s="299"/>
      <x:c r="I18" s="3"/>
      <x:c r="J18" s="3"/>
      <x:c r="K18" s="4"/>
      <x:c r="L18" s="4">
        <x:f t="shared" si="1"/>
        <x:v>0</x:v>
      </x:c>
      <x:c r="M18" s="5">
        <x:f t="shared" si="0"/>
        <x:v>0</x:v>
      </x:c>
      <x:c r="N18" s="6"/>
    </x:row>
    <x:row r="19" spans="1:14" ht="20.100000000000001" customHeight="1">
      <x:c r="A19" s="299"/>
      <x:c r="B19" s="3" t="s">
        <x:v>1692</x:v>
      </x:c>
      <x:c r="C19" s="3" t="s">
        <x:v>179</x:v>
      </x:c>
      <x:c r="D19" s="4">
        <x:v>2596440</x:v>
      </x:c>
      <x:c r="E19" s="4">
        <x:f t="shared" si="2"/>
        <x:v>259644</x:v>
      </x:c>
      <x:c r="F19" s="5">
        <x:f>+D19+E19</x:f>
        <x:v>2856084</x:v>
      </x:c>
      <x:c r="G19" s="6"/>
      <x:c r="H19" s="299"/>
      <x:c r="I19" s="3"/>
      <x:c r="J19" s="3"/>
      <x:c r="K19" s="4"/>
      <x:c r="L19" s="4">
        <x:f t="shared" si="1"/>
        <x:v>0</x:v>
      </x:c>
      <x:c r="M19" s="5">
        <x:f t="shared" si="0"/>
        <x:v>0</x:v>
      </x:c>
      <x:c r="N19" s="6"/>
    </x:row>
    <x:row r="20" spans="1:14" ht="20.100000000000001" customHeight="1">
      <x:c r="A20" s="300"/>
      <x:c r="B20" s="3"/>
      <x:c r="C20" s="3"/>
      <x:c r="D20" s="4"/>
      <x:c r="E20" s="4"/>
      <x:c r="F20" s="5"/>
      <x:c r="G20" s="6"/>
      <x:c r="H20" s="300"/>
      <x:c r="I20" s="3"/>
      <x:c r="J20" s="3"/>
      <x:c r="K20" s="4"/>
      <x:c r="L20" s="4">
        <x:f t="shared" si="1"/>
        <x:v>0</x:v>
      </x:c>
      <x:c r="M20" s="5">
        <x:f t="shared" si="0"/>
        <x:v>0</x:v>
      </x:c>
      <x:c r="N20" s="6"/>
    </x:row>
    <x:row r="21" spans="1:14" ht="20.100000000000001" customHeight="1">
      <x:c r="A21" s="7" t="s">
        <x:v>155</x:v>
      </x:c>
      <x:c r="B21" s="8"/>
      <x:c r="C21" s="8"/>
      <x:c r="D21" s="9">
        <x:f>SUM(D5:D20)</x:f>
        <x:v>188828932</x:v>
      </x:c>
      <x:c r="E21" s="9">
        <x:f>SUM(E5:E20)</x:f>
        <x:v>18882889</x:v>
      </x:c>
      <x:c r="F21" s="10">
        <x:f>SUM(F5:F20)</x:f>
        <x:v>207711821</x:v>
      </x:c>
      <x:c r="G21" s="11"/>
      <x:c r="H21" s="7"/>
      <x:c r="I21" s="8"/>
      <x:c r="J21" s="8"/>
      <x:c r="K21" s="9">
        <x:f>SUM(K5:K20)</x:f>
        <x:v>43075790</x:v>
      </x:c>
      <x:c r="L21" s="9">
        <x:f>SUM(L5:L20)</x:f>
        <x:v>4307578</x:v>
      </x:c>
      <x:c r="M21" s="10">
        <x:f>SUM(M5:M20)</x:f>
        <x:v>47383368</x:v>
      </x:c>
      <x:c r="N21" s="11"/>
    </x:row>
    <x:row r="22" spans="1:14" ht="20.100000000000001" customHeight="1">
      <x:c r="A22" s="301" t="s">
        <x:v>153</x:v>
      </x:c>
      <x:c r="B22" s="3" t="s">
        <x:v>1677</x:v>
      </x:c>
      <x:c r="C22" s="3"/>
      <x:c r="D22" s="35">
        <x:v>61240000</x:v>
      </x:c>
      <x:c r="E22" s="35"/>
      <x:c r="F22" s="36">
        <x:f>+D22+E22</x:f>
        <x:v>61240000</x:v>
      </x:c>
      <x:c r="G22" s="37" t="s">
        <x:v>178</x:v>
      </x:c>
      <x:c r="H22" s="301" t="s">
        <x:v>153</x:v>
      </x:c>
      <x:c r="I22" s="3" t="s">
        <x:v>1677</x:v>
      </x:c>
      <x:c r="J22" s="3"/>
      <x:c r="K22" s="4">
        <x:v>18960000</x:v>
      </x:c>
      <x:c r="L22" s="4"/>
      <x:c r="M22" s="5">
        <x:f t="shared" si="0"/>
        <x:v>18960000</x:v>
      </x:c>
      <x:c r="N22" s="6"/>
    </x:row>
    <x:row r="23" spans="1:14" ht="20.100000000000001" customHeight="1">
      <x:c r="A23" s="299"/>
      <x:c r="B23" s="3" t="s">
        <x:v>38</x:v>
      </x:c>
      <x:c r="C23" s="3"/>
      <x:c r="D23" s="35">
        <x:v>5000000</x:v>
      </x:c>
      <x:c r="E23" s="4"/>
      <x:c r="F23" s="36">
        <x:f>+D23+E23</x:f>
        <x:v>5000000</x:v>
      </x:c>
      <x:c r="G23" s="37" t="s">
        <x:v>178</x:v>
      </x:c>
      <x:c r="H23" s="299"/>
      <x:c r="I23" s="3" t="s">
        <x:v>40</x:v>
      </x:c>
      <x:c r="J23" s="3"/>
      <x:c r="K23" s="4">
        <x:v>39653500</x:v>
      </x:c>
      <x:c r="L23" s="4">
        <x:f t="shared" si="1"/>
        <x:v>3965350</x:v>
      </x:c>
      <x:c r="M23" s="5">
        <x:f>+K23+L23</x:f>
        <x:v>43618850</x:v>
      </x:c>
      <x:c r="N23" s="6"/>
    </x:row>
    <x:row r="24" spans="1:14" ht="20.100000000000001" customHeight="1">
      <x:c r="A24" s="299"/>
      <x:c r="B24" s="3" t="s">
        <x:v>843</x:v>
      </x:c>
      <x:c r="C24" s="3"/>
      <x:c r="D24" s="4"/>
      <x:c r="E24" s="4"/>
      <x:c r="F24" s="5">
        <x:f>+D24+E24</x:f>
        <x:v>0</x:v>
      </x:c>
      <x:c r="G24" s="6"/>
      <x:c r="H24" s="299"/>
      <x:c r="I24" s="3"/>
      <x:c r="J24" s="3"/>
      <x:c r="K24" s="4"/>
      <x:c r="L24" s="4"/>
      <x:c r="M24" s="5">
        <x:f>+K24+L24</x:f>
        <x:v>0</x:v>
      </x:c>
      <x:c r="N24" s="6"/>
    </x:row>
    <x:row r="25" spans="1:14" ht="20.100000000000001" customHeight="1">
      <x:c r="A25" s="300"/>
      <x:c r="B25" s="3" t="s">
        <x:v>43</x:v>
      </x:c>
      <x:c r="C25" s="3"/>
      <x:c r="D25" s="4">
        <x:v>4000000</x:v>
      </x:c>
      <x:c r="E25" s="4">
        <x:f>+D25*0.1</x:f>
        <x:v>400000</x:v>
      </x:c>
      <x:c r="F25" s="5">
        <x:f>+D25+E25</x:f>
        <x:v>4400000</x:v>
      </x:c>
      <x:c r="G25" s="6"/>
      <x:c r="H25" s="300"/>
      <x:c r="I25" s="3"/>
      <x:c r="J25" s="3"/>
      <x:c r="K25" s="4"/>
      <x:c r="L25" s="4">
        <x:f t="shared" si="1"/>
        <x:v>0</x:v>
      </x:c>
      <x:c r="M25" s="5">
        <x:f t="shared" si="0"/>
        <x:v>0</x:v>
      </x:c>
      <x:c r="N25" s="6"/>
    </x:row>
    <x:row r="26" spans="1:14" ht="20.100000000000001" customHeight="1">
      <x:c r="A26" s="7" t="s">
        <x:v>155</x:v>
      </x:c>
      <x:c r="B26" s="8"/>
      <x:c r="C26" s="8"/>
      <x:c r="D26" s="9">
        <x:f>SUM(D22:D25)</x:f>
        <x:v>70240000</x:v>
      </x:c>
      <x:c r="E26" s="9">
        <x:f>SUM(E22:E25)</x:f>
        <x:v>400000</x:v>
      </x:c>
      <x:c r="F26" s="10">
        <x:f>SUM(F22:F25)</x:f>
        <x:v>70640000</x:v>
      </x:c>
      <x:c r="G26" s="11"/>
      <x:c r="H26" s="7"/>
      <x:c r="I26" s="8"/>
      <x:c r="J26" s="8"/>
      <x:c r="K26" s="9">
        <x:f>SUM(K22:K25)</x:f>
        <x:v>58613500</x:v>
      </x:c>
      <x:c r="L26" s="9">
        <x:f>SUM(L22:L25)</x:f>
        <x:v>3965350</x:v>
      </x:c>
      <x:c r="M26" s="10">
        <x:f>SUM(M22:M25)</x:f>
        <x:v>62578850</x:v>
      </x:c>
      <x:c r="N26" s="11"/>
    </x:row>
    <x:row r="27" spans="1:14" ht="20.100000000000001" customHeight="1">
      <x:c r="A27" s="301" t="s">
        <x:v>187</x:v>
      </x:c>
      <x:c r="B27" s="3" t="s">
        <x:v>1681</x:v>
      </x:c>
      <x:c r="C27" s="3" t="s">
        <x:v>157</x:v>
      </x:c>
      <x:c r="D27" s="4">
        <x:v>4500000</x:v>
      </x:c>
      <x:c r="E27" s="4">
        <x:f>+D27*0.1</x:f>
        <x:v>450000</x:v>
      </x:c>
      <x:c r="F27" s="5">
        <x:f>+D27+E27</x:f>
        <x:v>4950000</x:v>
      </x:c>
      <x:c r="G27" s="6" t="s">
        <x:v>1714</x:v>
      </x:c>
      <x:c r="H27" s="301" t="s">
        <x:v>187</x:v>
      </x:c>
      <x:c r="I27" s="3" t="s">
        <x:v>1693</x:v>
      </x:c>
      <x:c r="J27" s="3" t="s">
        <x:v>1687</x:v>
      </x:c>
      <x:c r="K27" s="4">
        <x:v>150000</x:v>
      </x:c>
      <x:c r="L27" s="4">
        <x:f>+K27*0.1</x:f>
        <x:v>15000</x:v>
      </x:c>
      <x:c r="M27" s="5">
        <x:f>+K27+L27</x:f>
        <x:v>165000</x:v>
      </x:c>
      <x:c r="N27" s="6"/>
    </x:row>
    <x:row r="28" spans="1:14" ht="20.100000000000001" customHeight="1">
      <x:c r="A28" s="299"/>
      <x:c r="B28" s="3" t="s">
        <x:v>1707</x:v>
      </x:c>
      <x:c r="C28" s="3" t="s">
        <x:v>157</x:v>
      </x:c>
      <x:c r="D28" s="4">
        <x:v>900000</x:v>
      </x:c>
      <x:c r="E28" s="4">
        <x:f>+D28*0.1</x:f>
        <x:v>90000</x:v>
      </x:c>
      <x:c r="F28" s="5">
        <x:f>+D28+E28</x:f>
        <x:v>990000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299"/>
      <x:c r="B29" s="3" t="s">
        <x:v>1697</x:v>
      </x:c>
      <x:c r="C29" s="3" t="s">
        <x:v>161</x:v>
      </x:c>
      <x:c r="D29" s="4">
        <x:v>500000</x:v>
      </x:c>
      <x:c r="E29" s="4">
        <x:f>+D29*0.1</x:f>
        <x:v>50000</x:v>
      </x:c>
      <x:c r="F29" s="5">
        <x:f>+D29+E29</x:f>
        <x:v>550000</x:v>
      </x:c>
      <x:c r="G29" s="6" t="s">
        <x:v>181</x:v>
      </x:c>
      <x:c r="H29" s="299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300"/>
      <x:c r="B30" s="3" t="s">
        <x:v>1697</x:v>
      </x:c>
      <x:c r="C30" s="3" t="s">
        <x:v>157</x:v>
      </x:c>
      <x:c r="D30" s="4">
        <x:v>2500000</x:v>
      </x:c>
      <x:c r="E30" s="4">
        <x:f>+D30*0.1</x:f>
        <x:v>250000</x:v>
      </x:c>
      <x:c r="F30" s="5">
        <x:f>+D30+E30</x:f>
        <x:v>2750000</x:v>
      </x:c>
      <x:c r="G30" s="6" t="s">
        <x:v>1700</x:v>
      </x:c>
      <x:c r="H30" s="300"/>
      <x:c r="I30" s="3"/>
      <x:c r="J30" s="3"/>
      <x:c r="K30" s="4"/>
      <x:c r="L30" s="4">
        <x:f>+K30*0.1</x:f>
        <x:v>0</x:v>
      </x:c>
      <x:c r="M30" s="5">
        <x:f>+K30+L30</x:f>
        <x:v>0</x:v>
      </x:c>
      <x:c r="N30" s="6"/>
    </x:row>
    <x:row r="31" spans="1:14" ht="20.100000000000001" customHeight="1">
      <x:c r="A31" s="7" t="s">
        <x:v>155</x:v>
      </x:c>
      <x:c r="B31" s="8"/>
      <x:c r="C31" s="8"/>
      <x:c r="D31" s="9">
        <x:f>SUM(D27:D30)</x:f>
        <x:v>8400000</x:v>
      </x:c>
      <x:c r="E31" s="9">
        <x:f>SUM(E27:E30)</x:f>
        <x:v>840000</x:v>
      </x:c>
      <x:c r="F31" s="10">
        <x:f>SUM(F27:F30)</x:f>
        <x:v>9240000</x:v>
      </x:c>
      <x:c r="G31" s="11"/>
      <x:c r="H31" s="7"/>
      <x:c r="I31" s="8"/>
      <x:c r="J31" s="8"/>
      <x:c r="K31" s="9">
        <x:f>SUM(K27:K30)</x:f>
        <x:v>150000</x:v>
      </x:c>
      <x:c r="L31" s="9">
        <x:f>SUM(L27:L30)</x:f>
        <x:v>15000</x:v>
      </x:c>
      <x:c r="M31" s="10">
        <x:f>SUM(M27:M30)</x:f>
        <x:v>165000</x:v>
      </x:c>
      <x:c r="N31" s="11"/>
    </x:row>
    <x:row r="32" spans="1:14" ht="20.100000000000001" customHeight="1">
      <x:c r="A32" s="301" t="s">
        <x:v>149</x:v>
      </x:c>
      <x:c r="B32" s="3" t="s">
        <x:v>814</x:v>
      </x:c>
      <x:c r="C32" s="3" t="s">
        <x:v>164</x:v>
      </x:c>
      <x:c r="D32" s="4">
        <x:v>2524500</x:v>
      </x:c>
      <x:c r="E32" s="4">
        <x:f>+D32*0.1</x:f>
        <x:v>252450</x:v>
      </x:c>
      <x:c r="F32" s="5">
        <x:f t="shared" ref="F32:F38" si="4">+D32+E32</x:f>
        <x:v>2776950</x:v>
      </x:c>
      <x:c r="G32" s="6"/>
      <x:c r="H32" s="301" t="s">
        <x:v>149</x:v>
      </x:c>
      <x:c r="I32" s="3" t="s">
        <x:v>820</x:v>
      </x:c>
      <x:c r="J32" s="3" t="s">
        <x:v>164</x:v>
      </x:c>
      <x:c r="K32" s="4">
        <x:v>786500</x:v>
      </x:c>
      <x:c r="L32" s="4">
        <x:f>+K32*0.1</x:f>
        <x:v>78650</x:v>
      </x:c>
      <x:c r="M32" s="5">
        <x:f>+K32+L32</x:f>
        <x:v>865150</x:v>
      </x:c>
      <x:c r="N32" s="6"/>
    </x:row>
    <x:row r="33" spans="1:14" ht="20.100000000000001" customHeight="1">
      <x:c r="A33" s="299"/>
      <x:c r="B33" s="3" t="s">
        <x:v>824</x:v>
      </x:c>
      <x:c r="C33" s="3" t="s">
        <x:v>164</x:v>
      </x:c>
      <x:c r="D33" s="4"/>
      <x:c r="E33" s="4">
        <x:f>+D33*0.1</x:f>
        <x:v>0</x:v>
      </x:c>
      <x:c r="F33" s="5">
        <x:f t="shared" si="4"/>
        <x:v>0</x:v>
      </x:c>
      <x:c r="G33" s="6"/>
      <x:c r="H33" s="299"/>
      <x:c r="I33" s="3" t="s">
        <x:v>1685</x:v>
      </x:c>
      <x:c r="J33" s="3" t="s">
        <x:v>37</x:v>
      </x:c>
      <x:c r="K33" s="4">
        <x:v>488600</x:v>
      </x:c>
      <x:c r="L33" s="4"/>
      <x:c r="M33" s="5">
        <x:f t="shared" ref="M33:M38" si="5">+K33+L33</x:f>
        <x:v>488600</x:v>
      </x:c>
      <x:c r="N33" s="6" t="s">
        <x:v>1694</x:v>
      </x:c>
    </x:row>
    <x:row r="34" spans="1:14" ht="20.100000000000001" customHeight="1">
      <x:c r="A34" s="299"/>
      <x:c r="B34" s="3" t="s">
        <x:v>1699</x:v>
      </x:c>
      <x:c r="C34" s="3" t="s">
        <x:v>167</x:v>
      </x:c>
      <x:c r="D34" s="4">
        <x:v>145000</x:v>
      </x:c>
      <x:c r="E34" s="4">
        <x:f>+D34*0.1</x:f>
        <x:v>14500</x:v>
      </x:c>
      <x:c r="F34" s="5">
        <x:f t="shared" si="4"/>
        <x:v>159500</x:v>
      </x:c>
      <x:c r="G34" s="6"/>
      <x:c r="H34" s="299"/>
      <x:c r="I34" s="3" t="s">
        <x:v>1680</x:v>
      </x:c>
      <x:c r="J34" s="3" t="s">
        <x:v>1695</x:v>
      </x:c>
      <x:c r="K34" s="4">
        <x:v>130000</x:v>
      </x:c>
      <x:c r="L34" s="4">
        <x:f>+K34*0.1</x:f>
        <x:v>13000</x:v>
      </x:c>
      <x:c r="M34" s="5">
        <x:f t="shared" si="5"/>
        <x:v>143000</x:v>
      </x:c>
      <x:c r="N34" s="6"/>
    </x:row>
    <x:row r="35" spans="1:14" ht="20.100000000000001" customHeight="1">
      <x:c r="A35" s="299"/>
      <x:c r="B35" s="3" t="s">
        <x:v>1680</x:v>
      </x:c>
      <x:c r="C35" s="3" t="s">
        <x:v>1695</x:v>
      </x:c>
      <x:c r="D35" s="4">
        <x:v>150000</x:v>
      </x:c>
      <x:c r="E35" s="4">
        <x:f>+D35*0.1</x:f>
        <x:v>15000</x:v>
      </x:c>
      <x:c r="F35" s="5">
        <x:f t="shared" si="4"/>
        <x:v>165000</x:v>
      </x:c>
      <x:c r="G35" s="6"/>
      <x:c r="H35" s="299"/>
      <x:c r="I35" s="3" t="s">
        <x:v>169</x:v>
      </x:c>
      <x:c r="J35" s="3" t="s">
        <x:v>149</x:v>
      </x:c>
      <x:c r="K35" s="4">
        <x:f>2149810-K37</x:f>
        <x:v>1421610</x:v>
      </x:c>
      <x:c r="L35" s="4">
        <x:v>7000</x:v>
      </x:c>
      <x:c r="M35" s="5">
        <x:f t="shared" si="5"/>
        <x:v>1428610</x:v>
      </x:c>
      <x:c r="N35" s="6"/>
    </x:row>
    <x:row r="36" spans="1:14" ht="20.100000000000001" customHeight="1">
      <x:c r="A36" s="299"/>
      <x:c r="B36" s="3" t="s">
        <x:v>1713</x:v>
      </x:c>
      <x:c r="C36" s="3" t="s">
        <x:v>1712</x:v>
      </x:c>
      <x:c r="D36" s="4">
        <x:v>950000</x:v>
      </x:c>
      <x:c r="E36" s="4"/>
      <x:c r="F36" s="5">
        <x:f t="shared" si="4"/>
        <x:v>950000</x:v>
      </x:c>
      <x:c r="G36" s="6"/>
      <x:c r="H36" s="299"/>
      <x:c r="I36" s="3" t="s">
        <x:v>1713</x:v>
      </x:c>
      <x:c r="J36" s="3" t="s">
        <x:v>1712</x:v>
      </x:c>
      <x:c r="K36" s="4">
        <x:v>750000</x:v>
      </x:c>
      <x:c r="L36" s="4">
        <x:f>+K36*0.1</x:f>
        <x:v>75000</x:v>
      </x:c>
      <x:c r="M36" s="5">
        <x:f t="shared" si="5"/>
        <x:v>825000</x:v>
      </x:c>
      <x:c r="N36" s="6"/>
    </x:row>
    <x:row r="37" spans="1:14" ht="20.100000000000001" customHeight="1">
      <x:c r="A37" s="299"/>
      <x:c r="B37" s="3" t="s">
        <x:v>177</x:v>
      </x:c>
      <x:c r="C37" s="3" t="s">
        <x:v>149</x:v>
      </x:c>
      <x:c r="D37" s="4"/>
      <x:c r="E37" s="4"/>
      <x:c r="F37" s="5">
        <x:f t="shared" si="4"/>
        <x:v>0</x:v>
      </x:c>
      <x:c r="G37" s="6"/>
      <x:c r="H37" s="299"/>
      <x:c r="I37" s="3" t="s">
        <x:v>819</x:v>
      </x:c>
      <x:c r="J37" s="3"/>
      <x:c r="K37" s="4">
        <x:v>728200</x:v>
      </x:c>
      <x:c r="L37" s="4"/>
      <x:c r="M37" s="5">
        <x:f t="shared" si="5"/>
        <x:v>728200</x:v>
      </x:c>
      <x:c r="N37" s="6"/>
    </x:row>
    <x:row r="38" spans="1:14" ht="20.100000000000001" customHeight="1">
      <x:c r="A38" s="299"/>
      <x:c r="B38" s="3" t="s">
        <x:v>162</x:v>
      </x:c>
      <x:c r="C38" s="3" t="s">
        <x:v>149</x:v>
      </x:c>
      <x:c r="D38" s="4"/>
      <x:c r="E38" s="4"/>
      <x:c r="F38" s="5">
        <x:f t="shared" si="4"/>
        <x:v>0</x:v>
      </x:c>
      <x:c r="G38" s="6"/>
      <x:c r="H38" s="299"/>
      <x:c r="I38" s="3"/>
      <x:c r="J38" s="3"/>
      <x:c r="K38" s="4"/>
      <x:c r="L38" s="4"/>
      <x:c r="M38" s="5">
        <x:f t="shared" si="5"/>
        <x:v>0</x:v>
      </x:c>
      <x:c r="N38" s="6"/>
    </x:row>
    <x:row r="39" spans="1:14" ht="20.100000000000001" customHeight="1">
      <x:c r="A39" s="7" t="s">
        <x:v>155</x:v>
      </x:c>
      <x:c r="B39" s="8"/>
      <x:c r="C39" s="8"/>
      <x:c r="D39" s="9">
        <x:f>SUM(D32:D38)</x:f>
        <x:v>3769500</x:v>
      </x:c>
      <x:c r="E39" s="9">
        <x:f>SUM(E32:E38)</x:f>
        <x:v>281950</x:v>
      </x:c>
      <x:c r="F39" s="10">
        <x:f>SUM(F32:F38)</x:f>
        <x:v>4051450</x:v>
      </x:c>
      <x:c r="G39" s="11"/>
      <x:c r="H39" s="7"/>
      <x:c r="I39" s="8"/>
      <x:c r="J39" s="8"/>
      <x:c r="K39" s="9">
        <x:f>SUM(K32:K38)</x:f>
        <x:v>4304910</x:v>
      </x:c>
      <x:c r="L39" s="9">
        <x:f>SUM(L32:L38)</x:f>
        <x:v>173650</x:v>
      </x:c>
      <x:c r="M39" s="10">
        <x:f>SUM(M32:M38)</x:f>
        <x:v>4478560</x:v>
      </x:c>
      <x:c r="N39" s="11"/>
    </x:row>
    <x:row r="40" spans="1:14" ht="20.100000000000001" customHeight="1">
      <x:c r="A40" s="12" t="s">
        <x:v>1690</x:v>
      </x:c>
      <x:c r="B40" s="13"/>
      <x:c r="C40" s="13"/>
      <x:c r="D40" s="14">
        <x:f>+D21+D26+D31+D39</x:f>
        <x:v>271238432</x:v>
      </x:c>
      <x:c r="E40" s="14">
        <x:f>+E21+E26+E31+E39</x:f>
        <x:v>20404839</x:v>
      </x:c>
      <x:c r="F40" s="15">
        <x:f>+F21+F26+F31+F39</x:f>
        <x:v>291643271</x:v>
      </x:c>
      <x:c r="G40" s="16"/>
      <x:c r="H40" s="12"/>
      <x:c r="I40" s="13"/>
      <x:c r="J40" s="13"/>
      <x:c r="K40" s="14">
        <x:f>+K21+K26+K31+K39</x:f>
        <x:v>106144200</x:v>
      </x:c>
      <x:c r="L40" s="14">
        <x:f>+L21+L26+L31+L39</x:f>
        <x:v>8461578</x:v>
      </x:c>
      <x:c r="M40" s="15">
        <x:f>+M21+M26+M31+M39</x:f>
        <x:v>114605778</x:v>
      </x:c>
      <x:c r="N40" s="16"/>
    </x:row>
    <x:row r="41" spans="1:14" ht="20.100000000000001" customHeight="1">
      <x:c r="A41" s="23" t="s">
        <x:v>35</x:v>
      </x:c>
      <x:c r="B41" s="24"/>
      <x:c r="C41" s="24"/>
      <x:c r="D41" s="25">
        <x:f>+D4-D40</x:f>
        <x:v>-134874796</x:v>
      </x:c>
      <x:c r="E41" s="25">
        <x:f>+E4-E40</x:f>
        <x:v>-6768475.3999999985</x:v>
      </x:c>
      <x:c r="F41" s="26">
        <x:f>+F4-F40</x:f>
        <x:v>-141643271.40000001</x:v>
      </x:c>
      <x:c r="G41" s="27"/>
      <x:c r="H41" s="23"/>
      <x:c r="I41" s="24"/>
      <x:c r="J41" s="24"/>
      <x:c r="K41" s="25">
        <x:f>+K4-K40</x:f>
        <x:v>46585800</x:v>
      </x:c>
      <x:c r="L41" s="25">
        <x:f>+L4-L40</x:f>
        <x:v>-1191578</x:v>
      </x:c>
      <x:c r="M41" s="26">
        <x:f>+M4-M40</x:f>
        <x:v>45394222</x:v>
      </x:c>
      <x:c r="N41" s="27"/>
    </x:row>
    <x:row r="42" ht="20.100000000000001" customHeight="1"/>
    <x:row r="43" ht="20.100000000000001" customHeight="1"/>
    <x:row r="44" ht="20.100000000000001" customHeight="1"/>
    <x:row r="45" ht="20.100000000000001" customHeight="1"/>
    <x:row r="46" ht="20.100000000000001" customHeight="1"/>
    <x:row r="47" ht="20.100000000000001" customHeight="1"/>
    <x:row r="48" ht="20.100000000000001" customHeight="1"/>
    <x:row r="49" ht="20.100000000000001" customHeight="1"/>
    <x:row r="50" ht="20.100000000000001" customHeight="1"/>
    <x:row r="51" ht="20.100000000000001" customHeight="1"/>
    <x:row r="52" ht="20.100000000000001" customHeight="1"/>
    <x:row r="53" ht="20.100000000000001" customHeight="1"/>
    <x:row r="54" ht="20.100000000000001" customHeight="1"/>
    <x:row r="55" ht="20.100000000000001" customHeight="1"/>
    <x:row r="56" ht="20.100000000000001" customHeight="1"/>
    <x:row r="57" ht="20.100000000000001" customHeight="1"/>
    <x:row r="58" ht="20.100000000000001" customHeight="1"/>
    <x:row r="59" ht="20.100000000000001" customHeight="1"/>
    <x:row r="60" ht="20.100000000000001" customHeight="1"/>
    <x:row r="61" ht="20.100000000000001" customHeight="1"/>
    <x:row r="62" ht="20.100000000000001" customHeight="1"/>
    <x:row r="63" ht="20.100000000000001" customHeight="1"/>
    <x:row r="64" ht="20.100000000000001" customHeight="1"/>
    <x:row r="65" ht="20.100000000000001" customHeight="1"/>
    <x:row r="66" ht="20.100000000000001" customHeight="1"/>
    <x:row r="67" ht="20.100000000000001" customHeight="1"/>
    <x:row r="68" ht="20.100000000000001" customHeight="1"/>
    <x:row r="69" ht="20.100000000000001" customHeight="1"/>
    <x:row r="70" ht="20.100000000000001" customHeight="1"/>
    <x:row r="71" ht="20.100000000000001" customHeight="1"/>
    <x:row r="72" ht="20.100000000000001" customHeight="1"/>
    <x:row r="73" ht="20.100000000000001" customHeight="1"/>
    <x:row r="74" ht="20.100000000000001" customHeight="1"/>
    <x:row r="75" ht="20.100000000000001" customHeight="1"/>
    <x:row r="76" ht="20.100000000000001" customHeight="1"/>
    <x:row r="77" ht="20.100000000000001" customHeight="1"/>
    <x:row r="78" ht="20.100000000000001" customHeight="1"/>
    <x:row r="79" ht="20.100000000000001" customHeight="1"/>
    <x:row r="80" ht="20.100000000000001" customHeight="1"/>
    <x:row r="81" ht="20.100000000000001" customHeight="1"/>
    <x:row r="82" ht="20.100000000000001" customHeight="1"/>
    <x:row r="83" ht="20.100000000000001" customHeight="1"/>
    <x:row r="84" ht="20.100000000000001" customHeight="1"/>
    <x:row r="85" ht="20.100000000000001" customHeight="1"/>
    <x:row r="86" ht="20.100000000000001" customHeight="1"/>
    <x:row r="87" ht="20.100000000000001" customHeight="1"/>
    <x:row r="88" ht="20.100000000000001" customHeight="1"/>
    <x:row r="89" ht="20.100000000000001" customHeight="1"/>
    <x:row r="90" ht="20.100000000000001" customHeight="1"/>
    <x:row r="91" ht="20.100000000000001" customHeight="1"/>
    <x:row r="92" ht="20.100000000000001" customHeight="1"/>
    <x:row r="93" ht="20.100000000000001" customHeight="1"/>
    <x:row r="94" ht="20.100000000000001" customHeight="1"/>
    <x:row r="95" ht="20.100000000000001" customHeight="1"/>
    <x:row r="96" ht="20.100000000000001" customHeight="1"/>
    <x:row r="97" ht="20.100000000000001" customHeight="1"/>
    <x:row r="98" ht="20.100000000000001" customHeight="1"/>
    <x:row r="99" ht="20.100000000000001" customHeight="1"/>
    <x:row r="100" ht="20.100000000000001" customHeight="1"/>
    <x:row r="101" ht="20.100000000000001" customHeight="1"/>
    <x:row r="102" ht="20.100000000000001" customHeight="1"/>
    <x:row r="103" ht="20.100000000000001" customHeight="1"/>
    <x:row r="104" ht="20.100000000000001" customHeight="1"/>
    <x:row r="105" ht="20.100000000000001" customHeight="1"/>
    <x:row r="106" ht="20.100000000000001" customHeight="1"/>
    <x:row r="107" ht="20.100000000000001" customHeight="1"/>
    <x:row r="108" ht="20.100000000000001" customHeight="1"/>
    <x:row r="109" ht="20.100000000000001" customHeight="1"/>
    <x:row r="110" ht="20.100000000000001" customHeight="1"/>
    <x:row r="111" ht="20.100000000000001" customHeight="1"/>
    <x:row r="112" ht="20.100000000000001" customHeight="1"/>
    <x:row r="113" ht="20.100000000000001" customHeight="1"/>
    <x:row r="114" ht="20.100000000000001" customHeight="1"/>
    <x:row r="115" ht="20.100000000000001" customHeight="1"/>
    <x:row r="116" ht="20.100000000000001" customHeight="1"/>
  </x:sheetData>
  <x:mergeCells count="11">
    <x:mergeCell ref="A1:N1"/>
    <x:mergeCell ref="A2:G2"/>
    <x:mergeCell ref="H5:H20"/>
    <x:mergeCell ref="H22:H25"/>
    <x:mergeCell ref="H32:H38"/>
    <x:mergeCell ref="A5:A20"/>
    <x:mergeCell ref="A22:A25"/>
    <x:mergeCell ref="A32:A38"/>
    <x:mergeCell ref="H2:N2"/>
    <x:mergeCell ref="A27:A30"/>
    <x:mergeCell ref="H27:H30"/>
  </x:mergeCells>
  <x:pageMargins left="0.7086111307144165" right="0.7086111307144165" top="0.40000000596046448" bottom="0.40999999642372131" header="0.31486111879348755" footer="0.31486111879348755"/>
  <x:pageSetup paperSize="9" scale="61" firstPageNumber="1" fitToWidth="1" fitToHeight="1" orientation="landscape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N42"/>
  <x:sheetViews>
    <x:sheetView view="pageBreakPreview" topLeftCell="A1" zoomScaleNormal="100" zoomScaleSheetLayoutView="100" workbookViewId="0">
      <x:selection activeCell="J14" activeCellId="0" sqref="J14:J1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28" t="s">
        <x:v>151</x:v>
      </x:c>
      <x:c r="B4" s="38" t="s">
        <x:v>1679</x:v>
      </x:c>
      <x:c r="C4" s="38" t="s">
        <x:v>156</x:v>
      </x:c>
      <x:c r="D4" s="39">
        <x:v>163636364</x:v>
      </x:c>
      <x:c r="E4" s="39">
        <x:f>+D4*0.1</x:f>
        <x:v>16363636.4</x:v>
      </x:c>
      <x:c r="F4" s="40">
        <x:f>+D4+E4</x:f>
        <x:v>180000000.40000001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95440000</x:v>
      </x:c>
      <x:c r="L4" s="39">
        <x:v>4560000</x:v>
      </x:c>
      <x:c r="M4" s="40">
        <x:f>+K4+L4</x:f>
        <x:v>100000000</x:v>
      </x:c>
      <x:c r="N4" s="42"/>
    </x:row>
    <x:row r="5" spans="1:14" ht="20.100000000000001" customHeight="1">
      <x:c r="A5" s="298" t="s">
        <x:v>148</x:v>
      </x:c>
      <x:c r="B5" s="19" t="s">
        <x:v>1696</x:v>
      </x:c>
      <x:c r="C5" s="19" t="s">
        <x:v>842</x:v>
      </x:c>
      <x:c r="D5" s="20">
        <x:v>6458595</x:v>
      </x:c>
      <x:c r="E5" s="20">
        <x:f>+D5*0.1-1</x:f>
        <x:v>645858.5</x:v>
      </x:c>
      <x:c r="F5" s="21">
        <x:f>+D5+E5</x:f>
        <x:v>7104453.5</x:v>
      </x:c>
      <x:c r="G5" s="22"/>
      <x:c r="H5" s="298" t="s">
        <x:v>148</x:v>
      </x:c>
      <x:c r="I5" s="19" t="s">
        <x:v>1689</x:v>
      </x:c>
      <x:c r="J5" s="19" t="s">
        <x:v>182</x:v>
      </x:c>
      <x:c r="K5" s="20">
        <x:v>397000</x:v>
      </x:c>
      <x:c r="L5" s="20">
        <x:f>+K5*0.1</x:f>
        <x:v>39700</x:v>
      </x:c>
      <x:c r="M5" s="21">
        <x:f t="shared" ref="M5:M24" si="0">+K5+L5</x:f>
        <x:v>436700</x:v>
      </x:c>
      <x:c r="N5" s="22"/>
    </x:row>
    <x:row r="6" spans="1:14" ht="20.100000000000001" customHeight="1">
      <x:c r="A6" s="299"/>
      <x:c r="B6" s="3" t="s">
        <x:v>1688</x:v>
      </x:c>
      <x:c r="C6" s="3" t="s">
        <x:v>1691</x:v>
      </x:c>
      <x:c r="D6" s="4">
        <x:v>4602000</x:v>
      </x:c>
      <x:c r="E6" s="4">
        <x:f>+D6*0.1</x:f>
        <x:v>460200</x:v>
      </x:c>
      <x:c r="F6" s="5">
        <x:f>+D6+E6</x:f>
        <x:v>5062200</x:v>
      </x:c>
      <x:c r="G6" s="6"/>
      <x:c r="H6" s="299"/>
      <x:c r="I6" s="3" t="s">
        <x:v>1688</x:v>
      </x:c>
      <x:c r="J6" s="3" t="s">
        <x:v>1691</x:v>
      </x:c>
      <x:c r="K6" s="4">
        <x:v>24840000</x:v>
      </x:c>
      <x:c r="L6" s="4">
        <x:f>+K6*0.1</x:f>
        <x:v>2484000</x:v>
      </x:c>
      <x:c r="M6" s="5">
        <x:f t="shared" si="0"/>
        <x:v>27324000</x:v>
      </x:c>
      <x:c r="N6" s="6"/>
    </x:row>
    <x:row r="7" spans="1:14" ht="20.100000000000001" customHeight="1">
      <x:c r="A7" s="299"/>
      <x:c r="B7" s="3" t="s">
        <x:v>41</x:v>
      </x:c>
      <x:c r="C7" s="3" t="s">
        <x:v>844</x:v>
      </x:c>
      <x:c r="D7" s="4">
        <x:v>240000</x:v>
      </x:c>
      <x:c r="E7" s="4">
        <x:f>+D7*0.1</x:f>
        <x:v>24000</x:v>
      </x:c>
      <x:c r="F7" s="5">
        <x:f>+D7+E7</x:f>
        <x:v>264000</x:v>
      </x:c>
      <x:c r="G7" s="6"/>
      <x:c r="H7" s="299"/>
      <x:c r="I7" s="3" t="s">
        <x:v>1696</x:v>
      </x:c>
      <x:c r="J7" s="3" t="s">
        <x:v>171</x:v>
      </x:c>
      <x:c r="K7" s="4">
        <x:v>1860000</x:v>
      </x:c>
      <x:c r="L7" s="4">
        <x:f t="shared" ref="L7:L24" si="1">+K7*0.1</x:f>
        <x:v>186000</x:v>
      </x:c>
      <x:c r="M7" s="5">
        <x:f t="shared" si="0"/>
        <x:v>2046000</x:v>
      </x:c>
      <x:c r="N7" s="6"/>
    </x:row>
    <x:row r="8" spans="1:14" ht="20.100000000000001" customHeight="1">
      <x:c r="A8" s="299"/>
      <x:c r="B8" s="3" t="s">
        <x:v>822</x:v>
      </x:c>
      <x:c r="C8" s="3" t="s">
        <x:v>815</x:v>
      </x:c>
      <x:c r="D8" s="4">
        <x:v>717600</x:v>
      </x:c>
      <x:c r="E8" s="4">
        <x:f t="shared" ref="E8:E18" si="2">+D8*0.1</x:f>
        <x:v>71760</x:v>
      </x:c>
      <x:c r="F8" s="5">
        <x:f t="shared" ref="F8:F18" si="3">+D8+E8</x:f>
        <x:v>789360</x:v>
      </x:c>
      <x:c r="G8" s="6"/>
      <x:c r="H8" s="299"/>
      <x:c r="I8" s="3" t="s">
        <x:v>34</x:v>
      </x:c>
      <x:c r="J8" s="3" t="s">
        <x:v>1686</x:v>
      </x:c>
      <x:c r="K8" s="4">
        <x:v>839000</x:v>
      </x:c>
      <x:c r="L8" s="4">
        <x:f t="shared" si="1"/>
        <x:v>83900</x:v>
      </x:c>
      <x:c r="M8" s="5">
        <x:f t="shared" si="0"/>
        <x:v>922900</x:v>
      </x:c>
      <x:c r="N8" s="6"/>
    </x:row>
    <x:row r="9" spans="1:14" ht="20.100000000000001" customHeight="1">
      <x:c r="A9" s="299"/>
      <x:c r="B9" s="3" t="s">
        <x:v>165</x:v>
      </x:c>
      <x:c r="C9" s="3" t="s">
        <x:v>1704</x:v>
      </x:c>
      <x:c r="D9" s="4">
        <x:v>36741350</x:v>
      </x:c>
      <x:c r="E9" s="4">
        <x:f>122647+74680</x:f>
        <x:v>197327</x:v>
      </x:c>
      <x:c r="F9" s="5">
        <x:f t="shared" si="3"/>
        <x:v>36938677</x:v>
      </x:c>
      <x:c r="G9" s="6"/>
      <x:c r="H9" s="299"/>
      <x:c r="I9" s="3" t="s">
        <x:v>823</x:v>
      </x:c>
      <x:c r="J9" s="3" t="s">
        <x:v>168</x:v>
      </x:c>
      <x:c r="K9" s="4">
        <x:v>29358900</x:v>
      </x:c>
      <x:c r="L9" s="4">
        <x:f t="shared" si="1"/>
        <x:v>2935890</x:v>
      </x:c>
      <x:c r="M9" s="5">
        <x:f t="shared" si="0"/>
        <x:v>32294790</x:v>
      </x:c>
      <x:c r="N9" s="6"/>
    </x:row>
    <x:row r="10" spans="1:14" ht="20.100000000000001" customHeight="1">
      <x:c r="A10" s="299"/>
      <x:c r="B10" s="3" t="s">
        <x:v>1692</x:v>
      </x:c>
      <x:c r="C10" s="3" t="s">
        <x:v>36</x:v>
      </x:c>
      <x:c r="D10" s="4">
        <x:v>2583396</x:v>
      </x:c>
      <x:c r="E10" s="4">
        <x:f t="shared" si="2"/>
        <x:v>258339.60000000001</x:v>
      </x:c>
      <x:c r="F10" s="5">
        <x:f t="shared" si="3"/>
        <x:v>2841735.6000000001</x:v>
      </x:c>
      <x:c r="G10" s="6"/>
      <x:c r="H10" s="299"/>
      <x:c r="I10" s="3" t="s">
        <x:v>1692</x:v>
      </x:c>
      <x:c r="J10" s="3" t="s">
        <x:v>36</x:v>
      </x:c>
      <x:c r="K10" s="4">
        <x:v>819400</x:v>
      </x:c>
      <x:c r="L10" s="4">
        <x:f t="shared" si="1"/>
        <x:v>81940</x:v>
      </x:c>
      <x:c r="M10" s="5">
        <x:f t="shared" si="0"/>
        <x:v>901340</x:v>
      </x:c>
      <x:c r="N10" s="6"/>
    </x:row>
    <x:row r="11" spans="1:14" ht="20.100000000000001" customHeight="1">
      <x:c r="A11" s="299"/>
      <x:c r="B11" s="3" t="s">
        <x:v>833</x:v>
      </x:c>
      <x:c r="C11" s="3" t="s">
        <x:v>170</x:v>
      </x:c>
      <x:c r="D11" s="4">
        <x:v>35000</x:v>
      </x:c>
      <x:c r="E11" s="4">
        <x:f>+D11*0.1</x:f>
        <x:v>3500</x:v>
      </x:c>
      <x:c r="F11" s="5">
        <x:f t="shared" si="3"/>
        <x:v>38500</x:v>
      </x:c>
      <x:c r="G11" s="6" t="s">
        <x:v>821</x:v>
      </x:c>
      <x:c r="H11" s="299"/>
      <x:c r="I11" s="3"/>
      <x:c r="J11" s="3"/>
      <x:c r="K11" s="4"/>
      <x:c r="L11" s="4">
        <x:f t="shared" si="1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2"/>
        <x:v>0</x:v>
      </x:c>
      <x:c r="F12" s="5">
        <x:f t="shared" si="3"/>
        <x:v>0</x:v>
      </x:c>
      <x:c r="G12" s="6"/>
      <x:c r="H12" s="299"/>
      <x:c r="I12" s="3"/>
      <x:c r="J12" s="3"/>
      <x:c r="K12" s="4"/>
      <x:c r="L12" s="4">
        <x:f t="shared" si="1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2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1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2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1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2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1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2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1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2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1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2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1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1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51377941</x:v>
      </x:c>
      <x:c r="E20" s="9">
        <x:f>SUM(E5:E19)</x:f>
        <x:v>1660985.1000000001</x:v>
      </x:c>
      <x:c r="F20" s="10">
        <x:f>SUM(F5:F19)</x:f>
        <x:v>53038926.100000001</x:v>
      </x:c>
      <x:c r="G20" s="11"/>
      <x:c r="H20" s="7"/>
      <x:c r="I20" s="8"/>
      <x:c r="J20" s="8"/>
      <x:c r="K20" s="9">
        <x:f>SUM(K5:K19)</x:f>
        <x:v>58114300</x:v>
      </x:c>
      <x:c r="L20" s="9">
        <x:f>SUM(L5:L19)</x:f>
        <x:v>5811430</x:v>
      </x:c>
      <x:c r="M20" s="10">
        <x:f>SUM(M5:M19)</x:f>
        <x:v>63925730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>
        <x:v>61307000</x:v>
      </x:c>
      <x:c r="E21" s="44"/>
      <x:c r="F21" s="45">
        <x:f>+D21+E21</x:f>
        <x:v>61307000</x:v>
      </x:c>
      <x:c r="G21" s="37"/>
      <x:c r="H21" s="301" t="s">
        <x:v>153</x:v>
      </x:c>
      <x:c r="I21" s="3" t="s">
        <x:v>1677</x:v>
      </x:c>
      <x:c r="J21" s="3"/>
      <x:c r="K21" s="4">
        <x:v>23055000</x:v>
      </x:c>
      <x:c r="L21" s="4"/>
      <x:c r="M21" s="5">
        <x:f t="shared" si="0"/>
        <x:v>23055000</x:v>
      </x:c>
      <x:c r="N21" s="6"/>
    </x:row>
    <x:row r="22" spans="1:14" ht="20.100000000000001" customHeight="1">
      <x:c r="A22" s="299"/>
      <x:c r="B22" s="3" t="s">
        <x:v>38</x:v>
      </x:c>
      <x:c r="C22" s="3"/>
      <x:c r="D22" s="44">
        <x:v>17000000</x:v>
      </x:c>
      <x:c r="E22" s="44"/>
      <x:c r="F22" s="45">
        <x:f>+D22+E22</x:f>
        <x:v>17000000</x:v>
      </x:c>
      <x:c r="G22" s="37"/>
      <x:c r="H22" s="299"/>
      <x:c r="I22" s="3" t="s">
        <x:v>40</x:v>
      </x:c>
      <x:c r="J22" s="3"/>
      <x:c r="K22" s="4">
        <x:v>44324500</x:v>
      </x:c>
      <x:c r="L22" s="4">
        <x:f t="shared" si="1"/>
        <x:v>4432450</x:v>
      </x:c>
      <x:c r="M22" s="5">
        <x:f t="shared" si="0"/>
        <x:v>48756950</x:v>
      </x:c>
      <x:c r="N22" s="6"/>
    </x:row>
    <x:row r="23" spans="1:14" ht="20.100000000000001" customHeight="1">
      <x:c r="A23" s="299"/>
      <x:c r="B23" s="3" t="s">
        <x:v>843</x:v>
      </x:c>
      <x:c r="C23" s="3"/>
      <x:c r="D23" s="4"/>
      <x:c r="E23" s="4"/>
      <x:c r="F23" s="5">
        <x:f>+D23+E23</x:f>
        <x:v>0</x:v>
      </x:c>
      <x:c r="G23" s="6"/>
      <x:c r="H23" s="299"/>
      <x:c r="I23" s="3"/>
      <x:c r="J23" s="3"/>
      <x:c r="K23" s="4"/>
      <x:c r="L23" s="4"/>
      <x:c r="M23" s="5">
        <x:f t="shared" si="0"/>
        <x:v>0</x:v>
      </x:c>
      <x:c r="N23" s="6"/>
    </x:row>
    <x:row r="24" spans="1:14" ht="20.100000000000001" customHeight="1">
      <x:c r="A24" s="300"/>
      <x:c r="B24" s="3" t="s">
        <x:v>43</x:v>
      </x:c>
      <x:c r="C24" s="3"/>
      <x:c r="D24" s="4">
        <x:v>4000000</x:v>
      </x:c>
      <x:c r="E24" s="4">
        <x:f>+D24*0.1</x:f>
        <x:v>400000</x:v>
      </x:c>
      <x:c r="F24" s="5">
        <x:f>+D24+E24</x:f>
        <x:v>4400000</x:v>
      </x:c>
      <x:c r="G24" s="6"/>
      <x:c r="H24" s="300"/>
      <x:c r="I24" s="3"/>
      <x:c r="J24" s="3"/>
      <x:c r="K24" s="4"/>
      <x:c r="L24" s="4">
        <x:f t="shared" si="1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82307000</x:v>
      </x:c>
      <x:c r="E25" s="9">
        <x:f>SUM(E21:E24)</x:f>
        <x:v>400000</x:v>
      </x:c>
      <x:c r="F25" s="10">
        <x:f>SUM(F21:F24)</x:f>
        <x:v>82707000</x:v>
      </x:c>
      <x:c r="G25" s="11"/>
      <x:c r="H25" s="7"/>
      <x:c r="I25" s="8"/>
      <x:c r="J25" s="8"/>
      <x:c r="K25" s="9">
        <x:f>SUM(K21:K24)</x:f>
        <x:v>67379500</x:v>
      </x:c>
      <x:c r="L25" s="9">
        <x:f>SUM(L21:L24)</x:f>
        <x:v>4432450</x:v>
      </x:c>
      <x:c r="M25" s="10">
        <x:f>SUM(M21:M24)</x:f>
        <x:v>71811950</x:v>
      </x:c>
      <x:c r="N25" s="11"/>
    </x:row>
    <x:row r="26" spans="1:14" ht="20.100000000000001" customHeight="1">
      <x:c r="A26" s="301" t="s">
        <x:v>187</x:v>
      </x:c>
      <x:c r="B26" s="3" t="s">
        <x:v>1697</x:v>
      </x:c>
      <x:c r="C26" s="3" t="s">
        <x:v>161</x:v>
      </x:c>
      <x:c r="D26" s="4">
        <x:v>150000</x:v>
      </x:c>
      <x:c r="E26" s="4">
        <x:f>+D26*0.1</x:f>
        <x:v>15000</x:v>
      </x:c>
      <x:c r="F26" s="5">
        <x:f>+D26+E26</x:f>
        <x:v>165000</x:v>
      </x:c>
      <x:c r="G26" s="6"/>
      <x:c r="H26" s="301" t="s">
        <x:v>187</x:v>
      </x:c>
      <x:c r="I26" s="3" t="s">
        <x:v>1693</x:v>
      </x:c>
      <x:c r="J26" s="3" t="s">
        <x:v>1687</x:v>
      </x:c>
      <x:c r="K26" s="4">
        <x:v>50000</x:v>
      </x:c>
      <x:c r="L26" s="4">
        <x:f>+K26*0.1</x:f>
        <x:v>5000</x:v>
      </x:c>
      <x:c r="M26" s="5">
        <x:f>+K26+L26</x:f>
        <x:v>55000</x:v>
      </x:c>
      <x:c r="N26" s="6"/>
    </x:row>
    <x:row r="27" spans="1:14" ht="20.100000000000001" customHeight="1">
      <x:c r="A27" s="299"/>
      <x:c r="B27" s="3" t="s">
        <x:v>1697</x:v>
      </x:c>
      <x:c r="C27" s="3" t="s">
        <x:v>157</x:v>
      </x:c>
      <x:c r="D27" s="4">
        <x:v>1000000</x:v>
      </x:c>
      <x:c r="E27" s="4">
        <x:f>+D27*0.1</x:f>
        <x:v>100000</x:v>
      </x:c>
      <x:c r="F27" s="5">
        <x:f>+D27+E27</x:f>
        <x:v>1100000</x:v>
      </x:c>
      <x:c r="G27" s="6" t="s">
        <x:v>818</x:v>
      </x:c>
      <x:c r="H27" s="299"/>
      <x:c r="I27" s="3"/>
      <x:c r="J27" s="3"/>
      <x:c r="K27" s="4"/>
      <x:c r="L27" s="4">
        <x:f>+K27*0.1</x:f>
        <x:v>0</x:v>
      </x:c>
      <x:c r="M27" s="5">
        <x:f>+K27+L27</x:f>
        <x:v>0</x:v>
      </x:c>
      <x:c r="N27" s="6"/>
    </x:row>
    <x:row r="28" spans="1:14" ht="20.100000000000001" customHeight="1">
      <x:c r="A28" s="299"/>
      <x:c r="B28" s="3" t="s">
        <x:v>816</x:v>
      </x:c>
      <x:c r="C28" s="3" t="s">
        <x:v>176</x:v>
      </x:c>
      <x:c r="D28" s="4">
        <x:v>350000</x:v>
      </x:c>
      <x:c r="E28" s="4">
        <x:f>+D28*0.1</x:f>
        <x:v>35000</x:v>
      </x:c>
      <x:c r="F28" s="5">
        <x:f>+D28+E28</x:f>
        <x:v>385000</x:v>
      </x:c>
      <x:c r="G28" s="6" t="s">
        <x:v>826</x:v>
      </x:c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1500000</x:v>
      </x:c>
      <x:c r="E30" s="9">
        <x:f>SUM(E26:E29)</x:f>
        <x:v>150000</x:v>
      </x:c>
      <x:c r="F30" s="10">
        <x:f>SUM(F26:F29)</x:f>
        <x:v>1650000</x:v>
      </x:c>
      <x:c r="G30" s="11"/>
      <x:c r="H30" s="7"/>
      <x:c r="I30" s="8"/>
      <x:c r="J30" s="8"/>
      <x:c r="K30" s="9">
        <x:f>SUM(K26:K29)</x:f>
        <x:v>50000</x:v>
      </x:c>
      <x:c r="L30" s="9">
        <x:f>SUM(L26:L29)</x:f>
        <x:v>5000</x:v>
      </x:c>
      <x:c r="M30" s="10">
        <x:f>SUM(M26:M29)</x:f>
        <x:v>55000</x:v>
      </x:c>
      <x:c r="N30" s="11"/>
    </x:row>
    <x:row r="31" spans="1:14" ht="20.100000000000001" customHeight="1">
      <x:c r="A31" s="301" t="s">
        <x:v>149</x:v>
      </x:c>
      <x:c r="B31" s="3" t="s">
        <x:v>814</x:v>
      </x:c>
      <x:c r="C31" s="3" t="s">
        <x:v>164</x:v>
      </x:c>
      <x:c r="D31" s="4">
        <x:v>2009500</x:v>
      </x:c>
      <x:c r="E31" s="4">
        <x:f>+D31*0.1</x:f>
        <x:v>200950</x:v>
      </x:c>
      <x:c r="F31" s="5">
        <x:f t="shared" ref="F31:F38" si="4">+D31+E31</x:f>
        <x:v>2210450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467500</x:v>
      </x:c>
      <x:c r="L31" s="4">
        <x:f>+K31*0.1</x:f>
        <x:v>46750</x:v>
      </x:c>
      <x:c r="M31" s="5">
        <x:f t="shared" ref="M31:M39" si="5">+K31+L31</x:f>
        <x:v>514250</x:v>
      </x:c>
      <x:c r="N31" s="6"/>
    </x:row>
    <x:row r="32" spans="1:14" ht="20.100000000000001" customHeight="1">
      <x:c r="A32" s="299"/>
      <x:c r="B32" s="3" t="s">
        <x:v>824</x:v>
      </x:c>
      <x:c r="C32" s="3" t="s">
        <x:v>164</x:v>
      </x:c>
      <x:c r="D32" s="4">
        <x:v>1246000</x:v>
      </x:c>
      <x:c r="E32" s="4">
        <x:f>+D32*0.1</x:f>
        <x:v>124600</x:v>
      </x:c>
      <x:c r="F32" s="5">
        <x:f t="shared" si="4"/>
        <x:v>1370600</x:v>
      </x:c>
      <x:c r="G32" s="6"/>
      <x:c r="H32" s="299"/>
      <x:c r="I32" s="3" t="s">
        <x:v>827</x:v>
      </x:c>
      <x:c r="J32" s="3" t="s">
        <x:v>825</x:v>
      </x:c>
      <x:c r="K32" s="4">
        <x:v>335000</x:v>
      </x:c>
      <x:c r="L32" s="4">
        <x:f>+K32*0.1</x:f>
        <x:v>33500</x:v>
      </x:c>
      <x:c r="M32" s="5">
        <x:f t="shared" si="5"/>
        <x:v>368500</x:v>
      </x:c>
      <x:c r="N32" s="6"/>
    </x:row>
    <x:row r="33" spans="1:14" ht="20.100000000000001" customHeight="1">
      <x:c r="A33" s="299"/>
      <x:c r="B33" s="3" t="s">
        <x:v>1699</x:v>
      </x:c>
      <x:c r="C33" s="3" t="s">
        <x:v>167</x:v>
      </x:c>
      <x:c r="D33" s="4">
        <x:v>219000</x:v>
      </x:c>
      <x:c r="E33" s="4">
        <x:f>+D33*0.1</x:f>
        <x:v>21900</x:v>
      </x:c>
      <x:c r="F33" s="5">
        <x:f t="shared" si="4"/>
        <x:v>240900</x:v>
      </x:c>
      <x:c r="G33" s="6"/>
      <x:c r="H33" s="299"/>
      <x:c r="I33" s="3" t="s">
        <x:v>1680</x:v>
      </x:c>
      <x:c r="J33" s="3" t="s">
        <x:v>1695</x:v>
      </x:c>
      <x:c r="K33" s="4">
        <x:v>130000</x:v>
      </x:c>
      <x:c r="L33" s="4">
        <x:f>+K33*0.1</x:f>
        <x:v>13000</x:v>
      </x:c>
      <x:c r="M33" s="5">
        <x:f t="shared" si="5"/>
        <x:v>143000</x:v>
      </x:c>
      <x:c r="N33" s="6"/>
    </x:row>
    <x:row r="34" spans="1:14" ht="20.100000000000001" customHeight="1">
      <x:c r="A34" s="299"/>
      <x:c r="B34" s="3" t="s">
        <x:v>1680</x:v>
      </x:c>
      <x:c r="C34" s="3" t="s">
        <x:v>1695</x:v>
      </x:c>
      <x:c r="D34" s="4">
        <x:v>150000</x:v>
      </x:c>
      <x:c r="E34" s="4">
        <x:f>+D34*0.1</x:f>
        <x:v>15000</x:v>
      </x:c>
      <x:c r="F34" s="5">
        <x:f t="shared" si="4"/>
        <x:v>165000</x:v>
      </x:c>
      <x:c r="G34" s="6"/>
      <x:c r="H34" s="299"/>
      <x:c r="I34" s="3" t="s">
        <x:v>169</x:v>
      </x:c>
      <x:c r="J34" s="3" t="s">
        <x:v>149</x:v>
      </x:c>
      <x:c r="K34" s="4">
        <x:v>1114750</x:v>
      </x:c>
      <x:c r="L34" s="4">
        <x:v>7000</x:v>
      </x:c>
      <x:c r="M34" s="5">
        <x:f t="shared" si="5"/>
        <x:v>1121750</x:v>
      </x:c>
      <x:c r="N34" s="6"/>
    </x:row>
    <x:row r="35" spans="1:14" ht="20.100000000000001" customHeight="1">
      <x:c r="A35" s="299"/>
      <x:c r="B35" s="3" t="s">
        <x:v>1713</x:v>
      </x:c>
      <x:c r="C35" s="3" t="s">
        <x:v>841</x:v>
      </x:c>
      <x:c r="D35" s="4">
        <x:v>950000</x:v>
      </x:c>
      <x:c r="E35" s="4"/>
      <x:c r="F35" s="5">
        <x:f t="shared" si="4"/>
        <x:v>950000</x:v>
      </x:c>
      <x:c r="G35" s="6"/>
      <x:c r="H35" s="299"/>
      <x:c r="I35" s="3" t="s">
        <x:v>1713</x:v>
      </x:c>
      <x:c r="J35" s="3" t="s">
        <x:v>841</x:v>
      </x:c>
      <x:c r="K35" s="4">
        <x:v>750000</x:v>
      </x:c>
      <x:c r="L35" s="4">
        <x:f>+K35*0.1</x:f>
        <x:v>75000</x:v>
      </x:c>
      <x:c r="M35" s="5">
        <x:f t="shared" si="5"/>
        <x:v>825000</x:v>
      </x:c>
      <x:c r="N35" s="6"/>
    </x:row>
    <x:row r="36" spans="1:14" ht="20.100000000000001" customHeight="1">
      <x:c r="A36" s="299"/>
      <x:c r="B36" s="3" t="s">
        <x:v>831</x:v>
      </x:c>
      <x:c r="C36" s="3" t="s">
        <x:v>817</x:v>
      </x:c>
      <x:c r="D36" s="4">
        <x:v>3244077</x:v>
      </x:c>
      <x:c r="E36" s="4">
        <x:f>+D36*0.1-1</x:f>
        <x:v>324406.70000000001</x:v>
      </x:c>
      <x:c r="F36" s="5">
        <x:f t="shared" si="4"/>
        <x:v>3568483.7000000002</x:v>
      </x:c>
      <x:c r="G36" s="6"/>
      <x:c r="H36" s="299"/>
      <x:c r="I36" s="3" t="s">
        <x:v>828</x:v>
      </x:c>
      <x:c r="J36" s="3" t="s">
        <x:v>167</x:v>
      </x:c>
      <x:c r="K36" s="4">
        <x:v>390000</x:v>
      </x:c>
      <x:c r="L36" s="4">
        <x:f>+K36*0.1</x:f>
        <x:v>39000</x:v>
      </x:c>
      <x:c r="M36" s="5">
        <x:f t="shared" si="5"/>
        <x:v>429000</x:v>
      </x:c>
      <x:c r="N36" s="6"/>
    </x:row>
    <x:row r="37" spans="1:14" ht="20.100000000000001" customHeight="1">
      <x:c r="A37" s="299"/>
      <x:c r="B37" s="3" t="s">
        <x:v>177</x:v>
      </x:c>
      <x:c r="C37" s="3" t="s">
        <x:v>837</x:v>
      </x:c>
      <x:c r="D37" s="4">
        <x:v>954388</x:v>
      </x:c>
      <x:c r="E37" s="4"/>
      <x:c r="F37" s="5">
        <x:f t="shared" si="4"/>
        <x:v>954388</x:v>
      </x:c>
      <x:c r="G37" s="6"/>
      <x:c r="H37" s="299"/>
      <x:c r="I37" s="3" t="s">
        <x:v>829</x:v>
      </x:c>
      <x:c r="J37" s="3" t="s">
        <x:v>44</x:v>
      </x:c>
      <x:c r="K37" s="4">
        <x:v>-1900000</x:v>
      </x:c>
      <x:c r="L37" s="4">
        <x:f>+K37*0.1</x:f>
        <x:v>-190000</x:v>
      </x:c>
      <x:c r="M37" s="5">
        <x:f t="shared" si="5"/>
        <x:v>-2090000</x:v>
      </x:c>
      <x:c r="N37" s="6"/>
    </x:row>
    <x:row r="38" spans="1:14" ht="20.100000000000001" customHeight="1">
      <x:c r="A38" s="299"/>
      <x:c r="B38" s="3" t="s">
        <x:v>162</x:v>
      </x:c>
      <x:c r="C38" s="3" t="s">
        <x:v>837</x:v>
      </x:c>
      <x:c r="D38" s="4">
        <x:v>971090</x:v>
      </x:c>
      <x:c r="E38" s="4"/>
      <x:c r="F38" s="5">
        <x:f t="shared" si="4"/>
        <x:v>971090</x:v>
      </x:c>
      <x:c r="G38" s="6"/>
      <x:c r="H38" s="299"/>
      <x:c r="I38" s="3" t="s">
        <x:v>830</x:v>
      </x:c>
      <x:c r="J38" s="3" t="s">
        <x:v>832</x:v>
      </x:c>
      <x:c r="K38" s="4">
        <x:v>1370000</x:v>
      </x:c>
      <x:c r="L38" s="4">
        <x:f>+K38*0.1</x:f>
        <x:v>137000</x:v>
      </x:c>
      <x:c r="M38" s="5">
        <x:f t="shared" si="5"/>
        <x:v>1507000</x:v>
      </x:c>
      <x:c r="N38" s="6"/>
    </x:row>
    <x:row r="39" spans="1:14" ht="20.100000000000001" customHeight="1">
      <x:c r="A39" s="300"/>
      <x:c r="B39" s="3"/>
      <x:c r="C39" s="3"/>
      <x:c r="D39" s="4"/>
      <x:c r="E39" s="4"/>
      <x:c r="F39" s="5"/>
      <x:c r="G39" s="6"/>
      <x:c r="H39" s="300"/>
      <x:c r="I39" s="3" t="s">
        <x:v>834</x:v>
      </x:c>
      <x:c r="J39" s="3" t="s">
        <x:v>836</x:v>
      </x:c>
      <x:c r="K39" s="4">
        <x:v>400000</x:v>
      </x:c>
      <x:c r="L39" s="4">
        <x:f>+K39*0.1</x:f>
        <x:v>40000</x:v>
      </x:c>
      <x:c r="M39" s="5">
        <x:f t="shared" si="5"/>
        <x:v>440000</x:v>
      </x:c>
      <x:c r="N39" s="6"/>
    </x:row>
    <x:row r="40" spans="1:14" ht="20.100000000000001" customHeight="1">
      <x:c r="A40" s="7" t="s">
        <x:v>155</x:v>
      </x:c>
      <x:c r="B40" s="8"/>
      <x:c r="C40" s="8"/>
      <x:c r="D40" s="9">
        <x:f>SUM(D31:D39)</x:f>
        <x:v>9744055</x:v>
      </x:c>
      <x:c r="E40" s="9">
        <x:f>SUM(E31:E39)</x:f>
        <x:v>686856.69999999995</x:v>
      </x:c>
      <x:c r="F40" s="10">
        <x:f>SUM(F31:F39)</x:f>
        <x:v>10430911.699999999</x:v>
      </x:c>
      <x:c r="G40" s="11"/>
      <x:c r="H40" s="7"/>
      <x:c r="I40" s="8"/>
      <x:c r="J40" s="8"/>
      <x:c r="K40" s="9">
        <x:f>SUM(K31:K39)</x:f>
        <x:v>3057250</x:v>
      </x:c>
      <x:c r="L40" s="9">
        <x:f>SUM(L31:L39)</x:f>
        <x:v>201250</x:v>
      </x:c>
      <x:c r="M40" s="10">
        <x:f>SUM(M31:M39)</x:f>
        <x:v>3258500</x:v>
      </x:c>
      <x:c r="N40" s="11"/>
    </x:row>
    <x:row r="41" spans="1:14" ht="20.100000000000001" customHeight="1">
      <x:c r="A41" s="12" t="s">
        <x:v>1690</x:v>
      </x:c>
      <x:c r="B41" s="13"/>
      <x:c r="C41" s="13"/>
      <x:c r="D41" s="14">
        <x:f>+D20+D25+D30+D40</x:f>
        <x:v>144928996</x:v>
      </x:c>
      <x:c r="E41" s="14">
        <x:f>+E20+E25+E30+E40</x:f>
        <x:v>2897841.7999999998</x:v>
      </x:c>
      <x:c r="F41" s="15">
        <x:f>+F20+F25+F30+F40</x:f>
        <x:v>147826837.79999998</x:v>
      </x:c>
      <x:c r="G41" s="16"/>
      <x:c r="H41" s="12"/>
      <x:c r="I41" s="13"/>
      <x:c r="J41" s="13"/>
      <x:c r="K41" s="14">
        <x:f>+K20+K25+K30+K40</x:f>
        <x:v>128601050</x:v>
      </x:c>
      <x:c r="L41" s="14">
        <x:f>+L20+L25+L30+L40</x:f>
        <x:v>10450130</x:v>
      </x:c>
      <x:c r="M41" s="15">
        <x:f>+M20+M25+M30+M40</x:f>
        <x:v>139051180</x:v>
      </x:c>
      <x:c r="N41" s="16"/>
    </x:row>
    <x:row r="42" spans="1:14" ht="20.100000000000001" customHeight="1">
      <x:c r="A42" s="23" t="s">
        <x:v>35</x:v>
      </x:c>
      <x:c r="B42" s="24"/>
      <x:c r="C42" s="24"/>
      <x:c r="D42" s="25">
        <x:f>+D4-D41</x:f>
        <x:v>18707368</x:v>
      </x:c>
      <x:c r="E42" s="25">
        <x:f>+E4-E41</x:f>
        <x:v>13465794.600000001</x:v>
      </x:c>
      <x:c r="F42" s="26">
        <x:f>+F4-F41</x:f>
        <x:v>32173162.600000024</x:v>
      </x:c>
      <x:c r="G42" s="27"/>
      <x:c r="H42" s="23"/>
      <x:c r="I42" s="24"/>
      <x:c r="J42" s="24"/>
      <x:c r="K42" s="25">
        <x:f>+K4-K41</x:f>
        <x:v>-33161050</x:v>
      </x:c>
      <x:c r="L42" s="25">
        <x:f>+L4-L41</x:f>
        <x:v>-5890130</x:v>
      </x:c>
      <x:c r="M42" s="26">
        <x:f>+M4-M41</x:f>
        <x:v>-39051180</x:v>
      </x:c>
      <x:c r="N42" s="27"/>
    </x:row>
    <x:row r="43" ht="20.100000000000001" customHeight="1"/>
    <x:row r="44" ht="20.100000000000001" customHeight="1"/>
    <x:row r="45" ht="20.100000000000001" customHeight="1"/>
    <x:row r="46" ht="20.100000000000001" customHeight="1"/>
    <x:row r="47" ht="20.100000000000001" customHeight="1"/>
    <x:row r="48" ht="20.100000000000001" customHeight="1"/>
    <x:row r="49" ht="20.100000000000001" customHeight="1"/>
    <x:row r="50" ht="20.100000000000001" customHeight="1"/>
    <x:row r="51" ht="20.100000000000001" customHeight="1"/>
    <x:row r="52" ht="20.100000000000001" customHeight="1"/>
    <x:row r="53" ht="20.100000000000001" customHeight="1"/>
    <x:row r="54" ht="20.100000000000001" customHeight="1"/>
    <x:row r="55" ht="20.100000000000001" customHeight="1"/>
    <x:row r="56" ht="20.100000000000001" customHeight="1"/>
    <x:row r="57" ht="20.100000000000001" customHeight="1"/>
    <x:row r="58" ht="20.100000000000001" customHeight="1"/>
    <x:row r="59" ht="20.100000000000001" customHeight="1"/>
    <x:row r="60" ht="20.100000000000001" customHeight="1"/>
    <x:row r="61" ht="20.100000000000001" customHeight="1"/>
    <x:row r="62" ht="20.100000000000001" customHeight="1"/>
    <x:row r="63" ht="20.100000000000001" customHeight="1"/>
    <x:row r="64" ht="20.100000000000001" customHeight="1"/>
    <x:row r="65" ht="20.100000000000001" customHeight="1"/>
    <x:row r="66" ht="20.100000000000001" customHeight="1"/>
    <x:row r="67" ht="20.100000000000001" customHeight="1"/>
    <x:row r="68" ht="20.100000000000001" customHeight="1"/>
    <x:row r="69" ht="20.100000000000001" customHeight="1"/>
    <x:row r="70" ht="20.100000000000001" customHeight="1"/>
    <x:row r="71" ht="20.100000000000001" customHeight="1"/>
    <x:row r="72" ht="20.100000000000001" customHeight="1"/>
    <x:row r="73" ht="20.100000000000001" customHeight="1"/>
    <x:row r="74" ht="20.100000000000001" customHeight="1"/>
    <x:row r="75" ht="20.100000000000001" customHeight="1"/>
    <x:row r="76" ht="20.100000000000001" customHeight="1"/>
    <x:row r="77" ht="20.100000000000001" customHeight="1"/>
    <x:row r="78" ht="20.100000000000001" customHeight="1"/>
    <x:row r="79" ht="20.100000000000001" customHeight="1"/>
    <x:row r="80" ht="20.100000000000001" customHeight="1"/>
    <x:row r="81" ht="20.100000000000001" customHeight="1"/>
    <x:row r="82" ht="20.100000000000001" customHeight="1"/>
    <x:row r="83" ht="20.100000000000001" customHeight="1"/>
    <x:row r="84" ht="20.100000000000001" customHeight="1"/>
    <x:row r="85" ht="20.100000000000001" customHeight="1"/>
    <x:row r="86" ht="20.100000000000001" customHeight="1"/>
    <x:row r="87" ht="20.100000000000001" customHeight="1"/>
    <x:row r="88" ht="20.100000000000001" customHeight="1"/>
    <x:row r="89" ht="20.100000000000001" customHeight="1"/>
    <x:row r="90" ht="20.100000000000001" customHeight="1"/>
    <x:row r="91" ht="20.100000000000001" customHeight="1"/>
    <x:row r="92" ht="20.100000000000001" customHeight="1"/>
    <x:row r="93" ht="20.100000000000001" customHeight="1"/>
    <x:row r="94" ht="20.100000000000001" customHeight="1"/>
    <x:row r="95" ht="20.100000000000001" customHeight="1"/>
    <x:row r="96" ht="20.100000000000001" customHeight="1"/>
    <x:row r="97" ht="20.100000000000001" customHeight="1"/>
    <x:row r="98" ht="20.100000000000001" customHeight="1"/>
    <x:row r="99" ht="20.100000000000001" customHeight="1"/>
    <x:row r="100" ht="20.100000000000001" customHeight="1"/>
    <x:row r="101" ht="20.100000000000001" customHeight="1"/>
    <x:row r="102" ht="20.100000000000001" customHeight="1"/>
    <x:row r="103" ht="20.100000000000001" customHeight="1"/>
    <x:row r="104" ht="20.100000000000001" customHeight="1"/>
    <x:row r="105" ht="20.100000000000001" customHeight="1"/>
    <x:row r="106" ht="20.100000000000001" customHeight="1"/>
    <x:row r="107" ht="20.100000000000001" customHeight="1"/>
    <x:row r="108" ht="20.100000000000001" customHeight="1"/>
    <x:row r="109" ht="20.100000000000001" customHeight="1"/>
    <x:row r="110" ht="20.100000000000001" customHeight="1"/>
    <x:row r="111" ht="20.100000000000001" customHeight="1"/>
    <x:row r="112" ht="20.100000000000001" customHeight="1"/>
    <x:row r="113" ht="20.100000000000001" customHeight="1"/>
    <x:row r="114" ht="20.100000000000001" customHeight="1"/>
    <x:row r="115" ht="20.100000000000001" customHeight="1"/>
    <x:row r="116" ht="20.100000000000001" customHeight="1"/>
    <x:row r="117" ht="20.100000000000001" customHeight="1"/>
  </x:sheetData>
  <x:mergeCells count="11">
    <x:mergeCell ref="A26:A29"/>
    <x:mergeCell ref="H26:H29"/>
    <x:mergeCell ref="H31:H39"/>
    <x:mergeCell ref="A31:A39"/>
    <x:mergeCell ref="A1:N1"/>
    <x:mergeCell ref="A2:G2"/>
    <x:mergeCell ref="H2:N2"/>
    <x:mergeCell ref="A5:A19"/>
    <x:mergeCell ref="H5:H19"/>
    <x:mergeCell ref="A21:A24"/>
    <x:mergeCell ref="H21:H24"/>
  </x:mergeCells>
  <x:pageMargins left="0.7086111307144165" right="0.7086111307144165" top="0.40000000596046448" bottom="0.40999999642372131" header="0.31486111879348755" footer="0.31486111879348755"/>
  <x:pageSetup paperSize="9" scale="61" firstPageNumber="1" fitToWidth="1" fitToHeight="1" orientation="landscape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N42"/>
  <x:sheetViews>
    <x:sheetView view="pageBreakPreview" topLeftCell="A1" zoomScaleNormal="100" zoomScaleSheetLayoutView="100" workbookViewId="0">
      <x:selection activeCell="D27" activeCellId="0" sqref="D27:D27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43" t="s">
        <x:v>151</x:v>
      </x:c>
      <x:c r="B4" s="38" t="s">
        <x:v>1679</x:v>
      </x:c>
      <x:c r="C4" s="38" t="s">
        <x:v>156</x:v>
      </x:c>
      <x:c r="D4" s="39">
        <x:v>90909091</x:v>
      </x:c>
      <x:c r="E4" s="39">
        <x:f>+D4*0.1</x:f>
        <x:v>9090909.0999999996</x:v>
      </x:c>
      <x:c r="F4" s="40">
        <x:f>+D4+E4</x:f>
        <x:v>100000000.09999999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119300000</x:v>
      </x:c>
      <x:c r="L4" s="39">
        <x:v>5700000</x:v>
      </x:c>
      <x:c r="M4" s="40">
        <x:f>+K4+L4</x:f>
        <x:v>125000000</x:v>
      </x:c>
      <x:c r="N4" s="42"/>
    </x:row>
    <x:row r="5" spans="1:14" ht="20.100000000000001" customHeight="1">
      <x:c r="A5" s="298" t="s">
        <x:v>148</x:v>
      </x:c>
      <x:c r="B5" s="19" t="s">
        <x:v>838</x:v>
      </x:c>
      <x:c r="C5" s="19" t="s">
        <x:v>46</x:v>
      </x:c>
      <x:c r="D5" s="20">
        <x:v>78700</x:v>
      </x:c>
      <x:c r="E5" s="20">
        <x:f>+INT(D5*0.1)</x:f>
        <x:v>7870</x:v>
      </x:c>
      <x:c r="F5" s="21">
        <x:f>+D5+E5</x:f>
        <x:v>86570</x:v>
      </x:c>
      <x:c r="G5" s="22"/>
      <x:c r="H5" s="298" t="s">
        <x:v>148</x:v>
      </x:c>
      <x:c r="I5" s="19" t="s">
        <x:v>838</x:v>
      </x:c>
      <x:c r="J5" s="19" t="s">
        <x:v>47</x:v>
      </x:c>
      <x:c r="K5" s="20">
        <x:v>425000</x:v>
      </x:c>
      <x:c r="L5" s="20">
        <x:f>+K5*0.1</x:f>
        <x:v>42500</x:v>
      </x:c>
      <x:c r="M5" s="21">
        <x:f t="shared" ref="M5:M24" si="0">+K5+L5</x:f>
        <x:v>467500</x:v>
      </x:c>
      <x:c r="N5" s="22"/>
    </x:row>
    <x:row r="6" spans="1:14" ht="20.100000000000001" customHeight="1">
      <x:c r="A6" s="299"/>
      <x:c r="B6" s="3" t="s">
        <x:v>839</x:v>
      </x:c>
      <x:c r="C6" s="3" t="s">
        <x:v>87</x:v>
      </x:c>
      <x:c r="D6" s="4">
        <x:v>3002920</x:v>
      </x:c>
      <x:c r="E6" s="4">
        <x:f t="shared" ref="E6:E18" si="1">+INT(D6*0.1)</x:f>
        <x:v>300292</x:v>
      </x:c>
      <x:c r="F6" s="5">
        <x:f>+D6+E6</x:f>
        <x:v>3303212</x:v>
      </x:c>
      <x:c r="G6" s="6"/>
      <x:c r="H6" s="299"/>
      <x:c r="I6" s="3" t="s">
        <x:v>851</x:v>
      </x:c>
      <x:c r="J6" s="3" t="s">
        <x:v>862</x:v>
      </x:c>
      <x:c r="K6" s="4">
        <x:v>21520800</x:v>
      </x:c>
      <x:c r="L6" s="4">
        <x:f>+K6*0.1</x:f>
        <x:v>2152080</x:v>
      </x:c>
      <x:c r="M6" s="5">
        <x:f t="shared" si="0"/>
        <x:v>23672880</x:v>
      </x:c>
      <x:c r="N6" s="6"/>
    </x:row>
    <x:row r="7" spans="1:14" ht="20.100000000000001" customHeight="1">
      <x:c r="A7" s="299"/>
      <x:c r="B7" s="3" t="s">
        <x:v>840</x:v>
      </x:c>
      <x:c r="C7" s="3" t="s">
        <x:v>45</x:v>
      </x:c>
      <x:c r="D7" s="4">
        <x:v>1904500</x:v>
      </x:c>
      <x:c r="E7" s="4">
        <x:f t="shared" si="1"/>
        <x:v>190450</x:v>
      </x:c>
      <x:c r="F7" s="5">
        <x:f>+D7+E7</x:f>
        <x:v>2094950</x:v>
      </x:c>
      <x:c r="G7" s="6"/>
      <x:c r="H7" s="299"/>
      <x:c r="I7" s="3" t="s">
        <x:v>34</x:v>
      </x:c>
      <x:c r="J7" s="3" t="s">
        <x:v>848</x:v>
      </x:c>
      <x:c r="K7" s="4">
        <x:v>231000</x:v>
      </x:c>
      <x:c r="L7" s="4">
        <x:f t="shared" ref="L7:L24" si="2">+K7*0.1</x:f>
        <x:v>23100</x:v>
      </x:c>
      <x:c r="M7" s="5">
        <x:f t="shared" si="0"/>
        <x:v>254100</x:v>
      </x:c>
      <x:c r="N7" s="6"/>
    </x:row>
    <x:row r="8" spans="1:14" ht="20.100000000000001" customHeight="1">
      <x:c r="A8" s="299"/>
      <x:c r="B8" s="3" t="s">
        <x:v>854</x:v>
      </x:c>
      <x:c r="C8" s="3" t="s">
        <x:v>329</x:v>
      </x:c>
      <x:c r="D8" s="4">
        <x:v>8427160</x:v>
      </x:c>
      <x:c r="E8" s="4">
        <x:f t="shared" si="1"/>
        <x:v>842716</x:v>
      </x:c>
      <x:c r="F8" s="5">
        <x:f t="shared" ref="F8:F18" si="3">+D8+E8</x:f>
        <x:v>9269876</x:v>
      </x:c>
      <x:c r="G8" s="6"/>
      <x:c r="H8" s="299"/>
      <x:c r="I8" s="3" t="s">
        <x:v>840</x:v>
      </x:c>
      <x:c r="J8" s="3" t="s">
        <x:v>74</x:v>
      </x:c>
      <x:c r="K8" s="4">
        <x:v>168000</x:v>
      </x:c>
      <x:c r="L8" s="4">
        <x:f t="shared" si="2"/>
        <x:v>16800</x:v>
      </x:c>
      <x:c r="M8" s="5">
        <x:f t="shared" si="0"/>
        <x:v>184800</x:v>
      </x:c>
      <x:c r="N8" s="6"/>
    </x:row>
    <x:row r="9" spans="1:14" ht="20.100000000000001" customHeight="1">
      <x:c r="A9" s="299"/>
      <x:c r="B9" s="3" t="s">
        <x:v>855</x:v>
      </x:c>
      <x:c r="C9" s="3" t="s">
        <x:v>856</x:v>
      </x:c>
      <x:c r="D9" s="4">
        <x:v>10500000</x:v>
      </x:c>
      <x:c r="E9" s="4">
        <x:f t="shared" si="1"/>
        <x:v>1050000</x:v>
      </x:c>
      <x:c r="F9" s="5">
        <x:f t="shared" si="3"/>
        <x:v>11550000</x:v>
      </x:c>
      <x:c r="G9" s="6"/>
      <x:c r="H9" s="299"/>
      <x:c r="I9" s="3" t="s">
        <x:v>864</x:v>
      </x:c>
      <x:c r="J9" s="3" t="s">
        <x:v>68</x:v>
      </x:c>
      <x:c r="K9" s="4">
        <x:v>15219820</x:v>
      </x:c>
      <x:c r="L9" s="4">
        <x:f t="shared" si="2"/>
        <x:v>1521982</x:v>
      </x:c>
      <x:c r="M9" s="5">
        <x:f t="shared" si="0"/>
        <x:v>16741802</x:v>
      </x:c>
      <x:c r="N9" s="6"/>
    </x:row>
    <x:row r="10" spans="1:14" ht="20.100000000000001" customHeight="1">
      <x:c r="A10" s="299"/>
      <x:c r="B10" s="3" t="s">
        <x:v>846</x:v>
      </x:c>
      <x:c r="C10" s="3" t="s">
        <x:v>872</x:v>
      </x:c>
      <x:c r="D10" s="4">
        <x:v>552850</x:v>
      </x:c>
      <x:c r="E10" s="4">
        <x:f t="shared" si="1"/>
        <x:v>55285</x:v>
      </x:c>
      <x:c r="F10" s="5">
        <x:f t="shared" si="3"/>
        <x:v>608135</x:v>
      </x:c>
      <x:c r="G10" s="6"/>
      <x:c r="H10" s="299"/>
      <x:c r="I10" s="3" t="s">
        <x:v>846</x:v>
      </x:c>
      <x:c r="J10" s="3" t="s">
        <x:v>852</x:v>
      </x:c>
      <x:c r="K10" s="4">
        <x:v>1215000</x:v>
      </x:c>
      <x:c r="L10" s="4">
        <x:f t="shared" si="2"/>
        <x:v>121500</x:v>
      </x:c>
      <x:c r="M10" s="5">
        <x:f t="shared" si="0"/>
        <x:v>1336500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1"/>
        <x:v>0</x:v>
      </x:c>
      <x:c r="F12" s="5">
        <x:f t="shared" si="3"/>
        <x:v>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1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1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2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1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1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2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1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2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2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24466130</x:v>
      </x:c>
      <x:c r="E20" s="9">
        <x:f>SUM(E5:E19)</x:f>
        <x:v>2446613</x:v>
      </x:c>
      <x:c r="F20" s="10">
        <x:f>SUM(F5:F19)</x:f>
        <x:v>26912743</x:v>
      </x:c>
      <x:c r="G20" s="11"/>
      <x:c r="H20" s="7"/>
      <x:c r="I20" s="8"/>
      <x:c r="J20" s="8"/>
      <x:c r="K20" s="9">
        <x:f>SUM(K5:K19)</x:f>
        <x:v>38779620</x:v>
      </x:c>
      <x:c r="L20" s="9">
        <x:f>SUM(L5:L19)</x:f>
        <x:v>3877962</x:v>
      </x:c>
      <x:c r="M20" s="10">
        <x:f>SUM(M5:M19)</x:f>
        <x:v>42657582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>
        <x:v>44535000</x:v>
      </x:c>
      <x:c r="E21" s="44"/>
      <x:c r="F21" s="45">
        <x:f>+D21+E21</x:f>
        <x:v>44535000</x:v>
      </x:c>
      <x:c r="G21" s="37"/>
      <x:c r="H21" s="301" t="s">
        <x:v>153</x:v>
      </x:c>
      <x:c r="I21" s="3" t="s">
        <x:v>1677</x:v>
      </x:c>
      <x:c r="J21" s="3"/>
      <x:c r="K21" s="4">
        <x:v>19255000</x:v>
      </x:c>
      <x:c r="L21" s="4"/>
      <x:c r="M21" s="5">
        <x:f t="shared" si="0"/>
        <x:v>19255000</x:v>
      </x:c>
      <x:c r="N21" s="6"/>
    </x:row>
    <x:row r="22" spans="1:14" ht="20.100000000000001" customHeight="1">
      <x:c r="A22" s="299"/>
      <x:c r="B22" s="3" t="s">
        <x:v>38</x:v>
      </x:c>
      <x:c r="C22" s="3"/>
      <x:c r="D22" s="44">
        <x:v>14000000</x:v>
      </x:c>
      <x:c r="E22" s="44">
        <x:v>246000</x:v>
      </x:c>
      <x:c r="F22" s="45">
        <x:f>+D22+E22</x:f>
        <x:v>14246000</x:v>
      </x:c>
      <x:c r="G22" s="37"/>
      <x:c r="H22" s="299"/>
      <x:c r="I22" s="3" t="s">
        <x:v>40</x:v>
      </x:c>
      <x:c r="J22" s="3"/>
      <x:c r="K22" s="4">
        <x:v>20374900</x:v>
      </x:c>
      <x:c r="L22" s="4">
        <x:f t="shared" si="2"/>
        <x:v>2037490</x:v>
      </x:c>
      <x:c r="M22" s="5">
        <x:f t="shared" si="0"/>
        <x:v>22412390</x:v>
      </x:c>
      <x:c r="N22" s="6"/>
    </x:row>
    <x:row r="23" spans="1:14" ht="20.100000000000001" customHeight="1">
      <x:c r="A23" s="299"/>
      <x:c r="B23" s="3" t="s">
        <x:v>43</x:v>
      </x:c>
      <x:c r="C23" s="3"/>
      <x:c r="D23" s="4">
        <x:v>4000000</x:v>
      </x:c>
      <x:c r="E23" s="4">
        <x:f>+D23*0.1</x:f>
        <x:v>400000</x:v>
      </x:c>
      <x:c r="F23" s="5">
        <x:f>+D23+E23</x:f>
        <x:v>4400000</x:v>
      </x:c>
      <x:c r="G23" s="6"/>
      <x:c r="H23" s="299"/>
      <x:c r="I23" s="3" t="s">
        <x:v>50</x:v>
      </x:c>
      <x:c r="J23" s="3"/>
      <x:c r="K23" s="4">
        <x:v>16415500</x:v>
      </x:c>
      <x:c r="L23" s="4">
        <x:f t="shared" si="2"/>
        <x:v>1641550</x:v>
      </x:c>
      <x:c r="M23" s="5">
        <x:f t="shared" si="0"/>
        <x:v>18057050</x:v>
      </x:c>
      <x:c r="N23" s="6"/>
    </x:row>
    <x:row r="24" spans="1:14" ht="20.100000000000001" customHeight="1">
      <x:c r="A24" s="300"/>
      <x:c r="B24" s="3" t="s">
        <x:v>51</x:v>
      </x:c>
      <x:c r="C24" s="3"/>
      <x:c r="D24" s="4">
        <x:f>12*170000</x:f>
        <x:v>2040000</x:v>
      </x:c>
      <x:c r="E24" s="4">
        <x:f>+D24*0.1</x:f>
        <x:v>204000</x:v>
      </x:c>
      <x:c r="F24" s="5">
        <x:f>+D24+E24</x:f>
        <x:v>2244000</x:v>
      </x:c>
      <x:c r="G24" s="6"/>
      <x:c r="H24" s="300"/>
      <x:c r="I24" s="3"/>
      <x:c r="J24" s="3"/>
      <x:c r="K24" s="4"/>
      <x:c r="L24" s="4">
        <x:f t="shared" si="2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64575000</x:v>
      </x:c>
      <x:c r="E25" s="9">
        <x:f>SUM(E21:E24)</x:f>
        <x:v>850000</x:v>
      </x:c>
      <x:c r="F25" s="10">
        <x:f>SUM(F21:F24)</x:f>
        <x:v>65425000</x:v>
      </x:c>
      <x:c r="G25" s="11"/>
      <x:c r="H25" s="7"/>
      <x:c r="I25" s="8"/>
      <x:c r="J25" s="8"/>
      <x:c r="K25" s="9">
        <x:f>SUM(K21:K24)</x:f>
        <x:v>56045400</x:v>
      </x:c>
      <x:c r="L25" s="9">
        <x:f>SUM(L21:L24)</x:f>
        <x:v>3679040</x:v>
      </x:c>
      <x:c r="M25" s="10">
        <x:f>SUM(M21:M24)</x:f>
        <x:v>59724440</x:v>
      </x:c>
      <x:c r="N25" s="11"/>
    </x:row>
    <x:row r="26" spans="1:14" ht="20.100000000000001" customHeight="1">
      <x:c r="A26" s="301" t="s">
        <x:v>187</x:v>
      </x:c>
      <x:c r="B26" s="3" t="s">
        <x:v>1697</x:v>
      </x:c>
      <x:c r="C26" s="3" t="s">
        <x:v>161</x:v>
      </x:c>
      <x:c r="D26" s="4">
        <x:v>150000</x:v>
      </x:c>
      <x:c r="E26" s="4">
        <x:f>+D26*0.1</x:f>
        <x:v>15000</x:v>
      </x:c>
      <x:c r="F26" s="5">
        <x:f>+D26+E26</x:f>
        <x:v>165000</x:v>
      </x:c>
      <x:c r="G26" s="6"/>
      <x:c r="H26" s="301" t="s">
        <x:v>187</x:v>
      </x:c>
      <x:c r="I26" s="3" t="s">
        <x:v>1693</x:v>
      </x:c>
      <x:c r="J26" s="3" t="s">
        <x:v>1687</x:v>
      </x:c>
      <x:c r="K26" s="4">
        <x:v>100000</x:v>
      </x:c>
      <x:c r="L26" s="4">
        <x:f>+K26*0.1</x:f>
        <x:v>10000</x:v>
      </x:c>
      <x:c r="M26" s="5">
        <x:f>+K26+L26</x:f>
        <x:v>110000</x:v>
      </x:c>
      <x:c r="N26" s="6"/>
    </x:row>
    <x:row r="27" spans="1:14" ht="20.100000000000001" customHeight="1">
      <x:c r="A27" s="299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299"/>
      <x:c r="I27" s="3" t="s">
        <x:v>857</x:v>
      </x:c>
      <x:c r="J27" s="3" t="s">
        <x:v>858</x:v>
      </x:c>
      <x:c r="K27" s="4">
        <x:v>680000</x:v>
      </x:c>
      <x:c r="L27" s="4">
        <x:f>+K27*0.1</x:f>
        <x:v>68000</x:v>
      </x:c>
      <x:c r="M27" s="5">
        <x:f>+K27+L27</x:f>
        <x:v>748000</x:v>
      </x:c>
      <x:c r="N27" s="6" t="s">
        <x:v>849</x:v>
      </x:c>
    </x:row>
    <x:row r="28" spans="1:14" ht="20.100000000000001" customHeight="1">
      <x:c r="A28" s="299"/>
      <x:c r="B28" s="3"/>
      <x:c r="C28" s="3"/>
      <x:c r="D28" s="4"/>
      <x:c r="E28" s="4">
        <x:f>+D28*0.1</x:f>
        <x:v>0</x:v>
      </x:c>
      <x:c r="F28" s="5">
        <x:f>+D28+E28</x:f>
        <x:v>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150000</x:v>
      </x:c>
      <x:c r="E30" s="9">
        <x:f>SUM(E26:E29)</x:f>
        <x:v>15000</x:v>
      </x:c>
      <x:c r="F30" s="10">
        <x:f>SUM(F26:F29)</x:f>
        <x:v>165000</x:v>
      </x:c>
      <x:c r="G30" s="11"/>
      <x:c r="H30" s="7"/>
      <x:c r="I30" s="8"/>
      <x:c r="J30" s="8"/>
      <x:c r="K30" s="9">
        <x:f>SUM(K26:K29)</x:f>
        <x:v>780000</x:v>
      </x:c>
      <x:c r="L30" s="9">
        <x:f>SUM(L26:L29)</x:f>
        <x:v>78000</x:v>
      </x:c>
      <x:c r="M30" s="10">
        <x:f>SUM(M26:M29)</x:f>
        <x:v>858000</x:v>
      </x:c>
      <x:c r="N30" s="11"/>
    </x:row>
    <x:row r="31" spans="1:14" ht="20.100000000000001" customHeight="1">
      <x:c r="A31" s="301" t="s">
        <x:v>149</x:v>
      </x:c>
      <x:c r="B31" s="3" t="s">
        <x:v>814</x:v>
      </x:c>
      <x:c r="C31" s="3" t="s">
        <x:v>164</x:v>
      </x:c>
      <x:c r="D31" s="4">
        <x:v>1810000</x:v>
      </x:c>
      <x:c r="E31" s="4">
        <x:f>+D31*0.1</x:f>
        <x:v>181000</x:v>
      </x:c>
      <x:c r="F31" s="5">
        <x:f t="shared" ref="F31:F38" si="4">+D31+E31</x:f>
        <x:v>1991000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594000</x:v>
      </x:c>
      <x:c r="L31" s="4">
        <x:f>+K31*0.1</x:f>
        <x:v>59400</x:v>
      </x:c>
      <x:c r="M31" s="5">
        <x:f t="shared" ref="M31:M39" si="5">+K31+L31</x:f>
        <x:v>653400</x:v>
      </x:c>
      <x:c r="N31" s="6"/>
    </x:row>
    <x:row r="32" spans="1:14" ht="20.100000000000001" customHeight="1">
      <x:c r="A32" s="299"/>
      <x:c r="B32" s="3" t="s">
        <x:v>824</x:v>
      </x:c>
      <x:c r="C32" s="3" t="s">
        <x:v>164</x:v>
      </x:c>
      <x:c r="D32" s="4">
        <x:v>1041000</x:v>
      </x:c>
      <x:c r="E32" s="4">
        <x:f>+D32*0.1</x:f>
        <x:v>104100</x:v>
      </x:c>
      <x:c r="F32" s="5">
        <x:f t="shared" si="4"/>
        <x:v>1145100</x:v>
      </x:c>
      <x:c r="G32" s="6"/>
      <x:c r="H32" s="299"/>
      <x:c r="I32" s="3" t="s">
        <x:v>845</x:v>
      </x:c>
      <x:c r="J32" s="3" t="s">
        <x:v>825</x:v>
      </x:c>
      <x:c r="K32" s="4">
        <x:v>58000</x:v>
      </x:c>
      <x:c r="L32" s="4"/>
      <x:c r="M32" s="5">
        <x:f t="shared" si="5"/>
        <x:v>58000</x:v>
      </x:c>
      <x:c r="N32" s="6"/>
    </x:row>
    <x:row r="33" spans="1:14" ht="20.100000000000001" customHeight="1">
      <x:c r="A33" s="299"/>
      <x:c r="B33" s="3" t="s">
        <x:v>1699</x:v>
      </x:c>
      <x:c r="C33" s="3" t="s">
        <x:v>167</x:v>
      </x:c>
      <x:c r="D33" s="4">
        <x:v>115000</x:v>
      </x:c>
      <x:c r="E33" s="4">
        <x:f>+D33*0.1</x:f>
        <x:v>11500</x:v>
      </x:c>
      <x:c r="F33" s="5">
        <x:f t="shared" si="4"/>
        <x:v>126500</x:v>
      </x:c>
      <x:c r="G33" s="6"/>
      <x:c r="H33" s="299"/>
      <x:c r="I33" s="3" t="s">
        <x:v>820</x:v>
      </x:c>
      <x:c r="J33" s="3" t="s">
        <x:v>859</x:v>
      </x:c>
      <x:c r="K33" s="4">
        <x:v>1402500</x:v>
      </x:c>
      <x:c r="L33" s="4">
        <x:f>+K33*0.1</x:f>
        <x:v>140250</x:v>
      </x:c>
      <x:c r="M33" s="5">
        <x:f>+K33+L33</x:f>
        <x:v>1542750</x:v>
      </x:c>
      <x:c r="N33" s="6" t="s">
        <x:v>849</x:v>
      </x:c>
    </x:row>
    <x:row r="34" spans="1:14" ht="20.100000000000001" customHeight="1">
      <x:c r="A34" s="299"/>
      <x:c r="B34" s="3" t="s">
        <x:v>1680</x:v>
      </x:c>
      <x:c r="C34" s="3" t="s">
        <x:v>1695</x:v>
      </x:c>
      <x:c r="D34" s="4">
        <x:v>150000</x:v>
      </x:c>
      <x:c r="E34" s="4">
        <x:f>+D34*0.1</x:f>
        <x:v>15000</x:v>
      </x:c>
      <x:c r="F34" s="5">
        <x:f t="shared" si="4"/>
        <x:v>165000</x:v>
      </x:c>
      <x:c r="G34" s="6"/>
      <x:c r="H34" s="299"/>
      <x:c r="I34" s="3" t="s">
        <x:v>1680</x:v>
      </x:c>
      <x:c r="J34" s="3" t="s">
        <x:v>1695</x:v>
      </x:c>
      <x:c r="K34" s="4">
        <x:v>130000</x:v>
      </x:c>
      <x:c r="L34" s="4">
        <x:f>+K34*0.1</x:f>
        <x:v>13000</x:v>
      </x:c>
      <x:c r="M34" s="5">
        <x:f>+K34+L34</x:f>
        <x:v>143000</x:v>
      </x:c>
      <x:c r="N34" s="6"/>
    </x:row>
    <x:row r="35" spans="1:14" ht="20.100000000000001" customHeight="1">
      <x:c r="A35" s="299"/>
      <x:c r="B35" s="3" t="s">
        <x:v>1713</x:v>
      </x:c>
      <x:c r="C35" s="3" t="s">
        <x:v>863</x:v>
      </x:c>
      <x:c r="D35" s="4">
        <x:v>950000</x:v>
      </x:c>
      <x:c r="E35" s="4"/>
      <x:c r="F35" s="5">
        <x:f t="shared" si="4"/>
        <x:v>950000</x:v>
      </x:c>
      <x:c r="G35" s="6"/>
      <x:c r="H35" s="299"/>
      <x:c r="I35" s="3" t="s">
        <x:v>169</x:v>
      </x:c>
      <x:c r="J35" s="3" t="s">
        <x:v>149</x:v>
      </x:c>
      <x:c r="K35" s="4">
        <x:f>1340370-K32</x:f>
        <x:v>1282370</x:v>
      </x:c>
      <x:c r="L35" s="4">
        <x:v>22000</x:v>
      </x:c>
      <x:c r="M35" s="5">
        <x:f>+K35+L35</x:f>
        <x:v>1304370</x:v>
      </x:c>
      <x:c r="N35" s="6"/>
    </x:row>
    <x:row r="36" spans="1:14" ht="20.100000000000001" customHeight="1">
      <x:c r="A36" s="299"/>
      <x:c r="B36" s="3" t="s">
        <x:v>831</x:v>
      </x:c>
      <x:c r="C36" s="3" t="s">
        <x:v>817</x:v>
      </x:c>
      <x:c r="D36" s="4">
        <x:v>4293000</x:v>
      </x:c>
      <x:c r="E36" s="4">
        <x:f>+D36*0.1</x:f>
        <x:v>429300</x:v>
      </x:c>
      <x:c r="F36" s="5">
        <x:f t="shared" si="4"/>
        <x:v>4722300</x:v>
      </x:c>
      <x:c r="G36" s="6"/>
      <x:c r="H36" s="299"/>
      <x:c r="I36" s="3" t="s">
        <x:v>1713</x:v>
      </x:c>
      <x:c r="J36" s="3" t="s">
        <x:v>863</x:v>
      </x:c>
      <x:c r="K36" s="4">
        <x:v>750000</x:v>
      </x:c>
      <x:c r="L36" s="4"/>
      <x:c r="M36" s="5">
        <x:f>+K36+L36</x:f>
        <x:v>750000</x:v>
      </x:c>
      <x:c r="N36" s="6"/>
    </x:row>
    <x:row r="37" spans="1:14" ht="20.100000000000001" customHeight="1">
      <x:c r="A37" s="299"/>
      <x:c r="B37" s="3" t="s">
        <x:v>177</x:v>
      </x:c>
      <x:c r="C37" s="3" t="s">
        <x:v>837</x:v>
      </x:c>
      <x:c r="D37" s="4">
        <x:v>1300228</x:v>
      </x:c>
      <x:c r="E37" s="4"/>
      <x:c r="F37" s="5">
        <x:f t="shared" si="4"/>
        <x:v>1300228</x:v>
      </x:c>
      <x:c r="G37" s="6"/>
      <x:c r="H37" s="299"/>
      <x:c r="I37" s="3" t="s">
        <x:v>828</x:v>
      </x:c>
      <x:c r="J37" s="3" t="s">
        <x:v>167</x:v>
      </x:c>
      <x:c r="K37" s="4"/>
      <x:c r="L37" s="4">
        <x:f>+K37*0.1</x:f>
        <x:v>0</x:v>
      </x:c>
      <x:c r="M37" s="5">
        <x:f>+K37+L37</x:f>
        <x:v>0</x:v>
      </x:c>
      <x:c r="N37" s="6"/>
    </x:row>
    <x:row r="38" spans="1:14" ht="20.100000000000001" customHeight="1">
      <x:c r="A38" s="299"/>
      <x:c r="B38" s="3" t="s">
        <x:v>162</x:v>
      </x:c>
      <x:c r="C38" s="3" t="s">
        <x:v>837</x:v>
      </x:c>
      <x:c r="D38" s="4">
        <x:v>906750</x:v>
      </x:c>
      <x:c r="E38" s="4"/>
      <x:c r="F38" s="5">
        <x:f t="shared" si="4"/>
        <x:v>906750</x:v>
      </x:c>
      <x:c r="G38" s="6"/>
      <x:c r="H38" s="299"/>
      <x:c r="I38" s="3"/>
      <x:c r="J38" s="3"/>
      <x:c r="K38" s="4"/>
      <x:c r="L38" s="4">
        <x:f>+K38*0.1</x:f>
        <x:v>0</x:v>
      </x:c>
      <x:c r="M38" s="5">
        <x:f t="shared" si="5"/>
        <x:v>0</x:v>
      </x:c>
      <x:c r="N38" s="6"/>
    </x:row>
    <x:row r="39" spans="1:14" ht="20.100000000000001" customHeight="1">
      <x:c r="A39" s="300"/>
      <x:c r="B39" s="3"/>
      <x:c r="C39" s="3"/>
      <x:c r="D39" s="4"/>
      <x:c r="E39" s="4"/>
      <x:c r="F39" s="5"/>
      <x:c r="G39" s="6"/>
      <x:c r="H39" s="300"/>
      <x:c r="I39" s="3"/>
      <x:c r="J39" s="3"/>
      <x:c r="K39" s="4"/>
      <x:c r="L39" s="4">
        <x:f>+K39*0.1</x:f>
        <x:v>0</x:v>
      </x:c>
      <x:c r="M39" s="5">
        <x:f t="shared" si="5"/>
        <x:v>0</x:v>
      </x:c>
      <x:c r="N39" s="6"/>
    </x:row>
    <x:row r="40" spans="1:14" ht="20.100000000000001" customHeight="1">
      <x:c r="A40" s="7" t="s">
        <x:v>155</x:v>
      </x:c>
      <x:c r="B40" s="8"/>
      <x:c r="C40" s="8"/>
      <x:c r="D40" s="9">
        <x:f>SUM(D31:D39)</x:f>
        <x:v>10565978</x:v>
      </x:c>
      <x:c r="E40" s="9">
        <x:f>SUM(E31:E39)</x:f>
        <x:v>740900</x:v>
      </x:c>
      <x:c r="F40" s="10">
        <x:f>SUM(F31:F39)</x:f>
        <x:v>11306878</x:v>
      </x:c>
      <x:c r="G40" s="11"/>
      <x:c r="H40" s="7"/>
      <x:c r="I40" s="8"/>
      <x:c r="J40" s="8"/>
      <x:c r="K40" s="9">
        <x:f>SUM(K31:K39)</x:f>
        <x:v>4216870</x:v>
      </x:c>
      <x:c r="L40" s="9">
        <x:f>SUM(L31:L39)</x:f>
        <x:v>234650</x:v>
      </x:c>
      <x:c r="M40" s="10">
        <x:f>SUM(M31:M39)</x:f>
        <x:v>4451520</x:v>
      </x:c>
      <x:c r="N40" s="11"/>
    </x:row>
    <x:row r="41" spans="1:14" ht="20.100000000000001" customHeight="1">
      <x:c r="A41" s="12" t="s">
        <x:v>1690</x:v>
      </x:c>
      <x:c r="B41" s="13"/>
      <x:c r="C41" s="13"/>
      <x:c r="D41" s="14">
        <x:f>+D20+D25+D30+D40</x:f>
        <x:v>99757108</x:v>
      </x:c>
      <x:c r="E41" s="14">
        <x:f>+E20+E25+E30+E40</x:f>
        <x:v>4052513</x:v>
      </x:c>
      <x:c r="F41" s="15">
        <x:f>+F20+F25+F30+F40</x:f>
        <x:v>103809621</x:v>
      </x:c>
      <x:c r="G41" s="16"/>
      <x:c r="H41" s="12"/>
      <x:c r="I41" s="13"/>
      <x:c r="J41" s="13"/>
      <x:c r="K41" s="14">
        <x:f>+K20+K25+K30+K40</x:f>
        <x:v>99821890</x:v>
      </x:c>
      <x:c r="L41" s="14">
        <x:f>+L20+L25+L30+L40</x:f>
        <x:v>7869652</x:v>
      </x:c>
      <x:c r="M41" s="15">
        <x:f>+M20+M25+M30+M40</x:f>
        <x:v>107691542</x:v>
      </x:c>
      <x:c r="N41" s="16"/>
    </x:row>
    <x:row r="42" spans="1:14" ht="20.100000000000001" customHeight="1">
      <x:c r="A42" s="23" t="s">
        <x:v>35</x:v>
      </x:c>
      <x:c r="B42" s="24"/>
      <x:c r="C42" s="24"/>
      <x:c r="D42" s="25">
        <x:f>+D4-D41</x:f>
        <x:v>-8848017</x:v>
      </x:c>
      <x:c r="E42" s="25">
        <x:f>+E4-E41</x:f>
        <x:v>5038396.0999999996</x:v>
      </x:c>
      <x:c r="F42" s="26">
        <x:f>+F4-F41</x:f>
        <x:v>-3809620.900000006</x:v>
      </x:c>
      <x:c r="G42" s="27"/>
      <x:c r="H42" s="23"/>
      <x:c r="I42" s="24"/>
      <x:c r="J42" s="24"/>
      <x:c r="K42" s="25">
        <x:f>+K4-K41</x:f>
        <x:v>19478110</x:v>
      </x:c>
      <x:c r="L42" s="25">
        <x:f>+L4-L41</x:f>
        <x:v>-2169652</x:v>
      </x:c>
      <x:c r="M42" s="26">
        <x:f>+M4-M41</x:f>
        <x:v>17308458</x:v>
      </x:c>
      <x:c r="N42" s="27"/>
    </x:row>
    <x:row r="43" ht="20.100000000000001" customHeight="1"/>
    <x:row r="44" ht="20.100000000000001" customHeight="1"/>
    <x:row r="45" ht="20.100000000000001" customHeight="1"/>
    <x:row r="46" ht="20.100000000000001" customHeight="1"/>
    <x:row r="47" ht="20.100000000000001" customHeight="1"/>
    <x:row r="48" ht="20.100000000000001" customHeight="1"/>
    <x:row r="49" ht="20.100000000000001" customHeight="1"/>
    <x:row r="50" ht="20.100000000000001" customHeight="1"/>
    <x:row r="51" ht="20.100000000000001" customHeight="1"/>
    <x:row r="52" ht="20.100000000000001" customHeight="1"/>
    <x:row r="53" ht="20.100000000000001" customHeight="1"/>
    <x:row r="54" ht="20.100000000000001" customHeight="1"/>
    <x:row r="55" ht="20.100000000000001" customHeight="1"/>
    <x:row r="56" ht="20.100000000000001" customHeight="1"/>
    <x:row r="57" ht="20.100000000000001" customHeight="1"/>
    <x:row r="58" ht="20.100000000000001" customHeight="1"/>
    <x:row r="59" ht="20.100000000000001" customHeight="1"/>
    <x:row r="60" ht="20.100000000000001" customHeight="1"/>
    <x:row r="61" ht="20.100000000000001" customHeight="1"/>
    <x:row r="62" ht="20.100000000000001" customHeight="1"/>
    <x:row r="63" ht="20.100000000000001" customHeight="1"/>
    <x:row r="64" ht="20.100000000000001" customHeight="1"/>
    <x:row r="65" ht="20.100000000000001" customHeight="1"/>
    <x:row r="66" ht="20.100000000000001" customHeight="1"/>
    <x:row r="67" ht="20.100000000000001" customHeight="1"/>
    <x:row r="68" ht="20.100000000000001" customHeight="1"/>
    <x:row r="69" ht="20.100000000000001" customHeight="1"/>
    <x:row r="70" ht="20.100000000000001" customHeight="1"/>
    <x:row r="71" ht="20.100000000000001" customHeight="1"/>
    <x:row r="72" ht="20.100000000000001" customHeight="1"/>
    <x:row r="73" ht="20.100000000000001" customHeight="1"/>
    <x:row r="74" ht="20.100000000000001" customHeight="1"/>
    <x:row r="75" ht="20.100000000000001" customHeight="1"/>
    <x:row r="76" ht="20.100000000000001" customHeight="1"/>
    <x:row r="77" ht="20.100000000000001" customHeight="1"/>
    <x:row r="78" ht="20.100000000000001" customHeight="1"/>
    <x:row r="79" ht="20.100000000000001" customHeight="1"/>
    <x:row r="80" ht="20.100000000000001" customHeight="1"/>
    <x:row r="81" ht="20.100000000000001" customHeight="1"/>
    <x:row r="82" ht="20.100000000000001" customHeight="1"/>
    <x:row r="83" ht="20.100000000000001" customHeight="1"/>
    <x:row r="84" ht="20.100000000000001" customHeight="1"/>
    <x:row r="85" ht="20.100000000000001" customHeight="1"/>
    <x:row r="86" ht="20.100000000000001" customHeight="1"/>
    <x:row r="87" ht="20.100000000000001" customHeight="1"/>
    <x:row r="88" ht="20.100000000000001" customHeight="1"/>
    <x:row r="89" ht="20.100000000000001" customHeight="1"/>
    <x:row r="90" ht="20.100000000000001" customHeight="1"/>
    <x:row r="91" ht="20.100000000000001" customHeight="1"/>
    <x:row r="92" ht="20.100000000000001" customHeight="1"/>
    <x:row r="93" ht="20.100000000000001" customHeight="1"/>
    <x:row r="94" ht="20.100000000000001" customHeight="1"/>
    <x:row r="95" ht="20.100000000000001" customHeight="1"/>
    <x:row r="96" ht="20.100000000000001" customHeight="1"/>
    <x:row r="97" ht="20.100000000000001" customHeight="1"/>
    <x:row r="98" ht="20.100000000000001" customHeight="1"/>
    <x:row r="99" ht="20.100000000000001" customHeight="1"/>
    <x:row r="100" ht="20.100000000000001" customHeight="1"/>
    <x:row r="101" ht="20.100000000000001" customHeight="1"/>
    <x:row r="102" ht="20.100000000000001" customHeight="1"/>
    <x:row r="103" ht="20.100000000000001" customHeight="1"/>
    <x:row r="104" ht="20.100000000000001" customHeight="1"/>
    <x:row r="105" ht="20.100000000000001" customHeight="1"/>
    <x:row r="106" ht="20.100000000000001" customHeight="1"/>
    <x:row r="107" ht="20.100000000000001" customHeight="1"/>
    <x:row r="108" ht="20.100000000000001" customHeight="1"/>
    <x:row r="109" ht="20.100000000000001" customHeight="1"/>
    <x:row r="110" ht="20.100000000000001" customHeight="1"/>
    <x:row r="111" ht="20.100000000000001" customHeight="1"/>
    <x:row r="112" ht="20.100000000000001" customHeight="1"/>
    <x:row r="113" ht="20.100000000000001" customHeight="1"/>
    <x:row r="114" ht="20.100000000000001" customHeight="1"/>
    <x:row r="115" ht="20.100000000000001" customHeight="1"/>
    <x:row r="116" ht="20.100000000000001" customHeight="1"/>
    <x:row r="117" ht="20.100000000000001" customHeight="1"/>
  </x:sheetData>
  <x:mergeCells count="11">
    <x:mergeCell ref="A26:A29"/>
    <x:mergeCell ref="H26:H29"/>
    <x:mergeCell ref="A31:A39"/>
    <x:mergeCell ref="H31:H39"/>
    <x:mergeCell ref="A1:N1"/>
    <x:mergeCell ref="A2:G2"/>
    <x:mergeCell ref="H2:N2"/>
    <x:mergeCell ref="A5:A19"/>
    <x:mergeCell ref="H5:H19"/>
    <x:mergeCell ref="A21:A24"/>
    <x:mergeCell ref="H21:H24"/>
  </x:mergeCells>
  <x:pageMargins left="0.7086111307144165" right="0.7086111307144165" top="0.40000000596046448" bottom="0.40999999642372131" header="0.31486111879348755" footer="0.31486111879348755"/>
  <x:pageSetup paperSize="9" scale="61" firstPageNumber="1" fitToWidth="1" fitToHeight="1" orientation="landscape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N43"/>
  <x:sheetViews>
    <x:sheetView view="pageBreakPreview" topLeftCell="A1" zoomScaleNormal="100" zoomScaleSheetLayoutView="100" workbookViewId="0">
      <x:selection activeCell="D38" activeCellId="0" sqref="D38:D38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1725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46" t="s">
        <x:v>151</x:v>
      </x:c>
      <x:c r="B4" s="38" t="s">
        <x:v>1679</x:v>
      </x:c>
      <x:c r="C4" s="38" t="s">
        <x:v>156</x:v>
      </x:c>
      <x:c r="D4" s="39"/>
      <x:c r="E4" s="39">
        <x:f>+D4*0.1</x:f>
        <x:v>0</x:v>
      </x:c>
      <x:c r="F4" s="40">
        <x:f>+D4+E4</x:f>
        <x:v>0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295454545</x:v>
      </x:c>
      <x:c r="L4" s="39">
        <x:f>+K4*0.1</x:f>
        <x:v>29545454.5</x:v>
      </x:c>
      <x:c r="M4" s="40">
        <x:f>+K4+L4</x:f>
        <x:v>324999999.5</x:v>
      </x:c>
      <x:c r="N4" s="42"/>
    </x:row>
    <x:row r="5" spans="1:14" ht="20.100000000000001" customHeight="1">
      <x:c r="A5" s="298" t="s">
        <x:v>148</x:v>
      </x:c>
      <x:c r="B5" s="19" t="s">
        <x:v>839</x:v>
      </x:c>
      <x:c r="C5" s="19" t="s">
        <x:v>330</x:v>
      </x:c>
      <x:c r="D5" s="20">
        <x:v>1204500</x:v>
      </x:c>
      <x:c r="E5" s="20">
        <x:f>+INT(D5*0.1)</x:f>
        <x:v>120450</x:v>
      </x:c>
      <x:c r="F5" s="21">
        <x:f>+D5+E5</x:f>
        <x:v>1324950</x:v>
      </x:c>
      <x:c r="G5" s="22"/>
      <x:c r="H5" s="298" t="s">
        <x:v>148</x:v>
      </x:c>
      <x:c r="I5" s="19" t="s">
        <x:v>838</x:v>
      </x:c>
      <x:c r="J5" s="19" t="s">
        <x:v>860</x:v>
      </x:c>
      <x:c r="K5" s="20">
        <x:v>324000</x:v>
      </x:c>
      <x:c r="L5" s="20">
        <x:f>+K5*0.1</x:f>
        <x:v>32400</x:v>
      </x:c>
      <x:c r="M5" s="21">
        <x:f t="shared" ref="M5:M24" si="0">+K5+L5</x:f>
        <x:v>356400</x:v>
      </x:c>
      <x:c r="N5" s="22"/>
    </x:row>
    <x:row r="6" spans="1:14" ht="20.100000000000001" customHeight="1">
      <x:c r="A6" s="299"/>
      <x:c r="B6" s="3" t="s">
        <x:v>867</x:v>
      </x:c>
      <x:c r="C6" s="3" t="s">
        <x:v>865</x:v>
      </x:c>
      <x:c r="D6" s="4">
        <x:v>462000</x:v>
      </x:c>
      <x:c r="E6" s="4">
        <x:f t="shared" ref="E6:E18" si="1">+INT(D6*0.1)</x:f>
        <x:v>46200</x:v>
      </x:c>
      <x:c r="F6" s="5">
        <x:f>+D6+E6</x:f>
        <x:v>508200</x:v>
      </x:c>
      <x:c r="G6" s="6"/>
      <x:c r="H6" s="299"/>
      <x:c r="I6" s="3" t="s">
        <x:v>851</x:v>
      </x:c>
      <x:c r="J6" s="3" t="s">
        <x:v>862</x:v>
      </x:c>
      <x:c r="K6" s="4">
        <x:v>15120000</x:v>
      </x:c>
      <x:c r="L6" s="4">
        <x:f>+K6*0.1</x:f>
        <x:v>1512000</x:v>
      </x:c>
      <x:c r="M6" s="5">
        <x:f t="shared" si="0"/>
        <x:v>16632000</x:v>
      </x:c>
      <x:c r="N6" s="6"/>
    </x:row>
    <x:row r="7" spans="1:14" ht="20.100000000000001" customHeight="1">
      <x:c r="A7" s="299"/>
      <x:c r="B7" s="3" t="s">
        <x:v>840</x:v>
      </x:c>
      <x:c r="C7" s="3" t="s">
        <x:v>49</x:v>
      </x:c>
      <x:c r="D7" s="4">
        <x:v>112330</x:v>
      </x:c>
      <x:c r="E7" s="4">
        <x:f t="shared" si="1"/>
        <x:v>11233</x:v>
      </x:c>
      <x:c r="F7" s="5">
        <x:f>+D7+E7</x:f>
        <x:v>123563</x:v>
      </x:c>
      <x:c r="G7" s="6"/>
      <x:c r="H7" s="299"/>
      <x:c r="I7" s="3" t="s">
        <x:v>867</x:v>
      </x:c>
      <x:c r="J7" s="3" t="s">
        <x:v>321</x:v>
      </x:c>
      <x:c r="K7" s="4">
        <x:v>7644600</x:v>
      </x:c>
      <x:c r="L7" s="4">
        <x:f t="shared" ref="L7:L24" si="2">+K7*0.1</x:f>
        <x:v>764460</x:v>
      </x:c>
      <x:c r="M7" s="5">
        <x:f t="shared" si="0"/>
        <x:v>8409060</x:v>
      </x:c>
      <x:c r="N7" s="6"/>
    </x:row>
    <x:row r="8" spans="1:14" ht="20.100000000000001" customHeight="1">
      <x:c r="A8" s="299"/>
      <x:c r="B8" s="3" t="s">
        <x:v>854</x:v>
      </x:c>
      <x:c r="C8" s="3" t="s">
        <x:v>324</x:v>
      </x:c>
      <x:c r="D8" s="4">
        <x:v>3314840</x:v>
      </x:c>
      <x:c r="E8" s="4">
        <x:f t="shared" si="1"/>
        <x:v>331484</x:v>
      </x:c>
      <x:c r="F8" s="5">
        <x:f t="shared" ref="F8:F18" si="3">+D8+E8</x:f>
        <x:v>3646324</x:v>
      </x:c>
      <x:c r="G8" s="6"/>
      <x:c r="H8" s="299"/>
      <x:c r="I8" s="3" t="s">
        <x:v>34</x:v>
      </x:c>
      <x:c r="J8" s="3" t="s">
        <x:v>327</x:v>
      </x:c>
      <x:c r="K8" s="4">
        <x:v>2870000</x:v>
      </x:c>
      <x:c r="L8" s="4">
        <x:f t="shared" si="2"/>
        <x:v>287000</x:v>
      </x:c>
      <x:c r="M8" s="5">
        <x:f t="shared" si="0"/>
        <x:v>3157000</x:v>
      </x:c>
      <x:c r="N8" s="6"/>
    </x:row>
    <x:row r="9" spans="1:14" ht="20.100000000000001" customHeight="1">
      <x:c r="A9" s="299"/>
      <x:c r="B9" s="3" t="s">
        <x:v>846</x:v>
      </x:c>
      <x:c r="C9" s="3" t="s">
        <x:v>48</x:v>
      </x:c>
      <x:c r="D9" s="4">
        <x:v>901750</x:v>
      </x:c>
      <x:c r="E9" s="4">
        <x:f t="shared" si="1"/>
        <x:v>90175</x:v>
      </x:c>
      <x:c r="F9" s="5">
        <x:f t="shared" si="3"/>
        <x:v>991925</x:v>
      </x:c>
      <x:c r="G9" s="6"/>
      <x:c r="H9" s="299"/>
      <x:c r="I9" s="3" t="s">
        <x:v>840</x:v>
      </x:c>
      <x:c r="J9" s="3" t="s">
        <x:v>318</x:v>
      </x:c>
      <x:c r="K9" s="4">
        <x:v>30000</x:v>
      </x:c>
      <x:c r="L9" s="4">
        <x:f t="shared" si="2"/>
        <x:v>3000</x:v>
      </x:c>
      <x:c r="M9" s="5">
        <x:f t="shared" si="0"/>
        <x:v>33000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864</x:v>
      </x:c>
      <x:c r="J10" s="3" t="s">
        <x:v>1719</x:v>
      </x:c>
      <x:c r="K10" s="4">
        <x:v>457050</x:v>
      </x:c>
      <x:c r="L10" s="4">
        <x:f t="shared" si="2"/>
        <x:v>45705</x:v>
      </x:c>
      <x:c r="M10" s="5">
        <x:f t="shared" si="0"/>
        <x:v>502755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 t="s">
        <x:v>1705</x:v>
      </x:c>
      <x:c r="J11" s="3" t="s">
        <x:v>52</x:v>
      </x:c>
      <x:c r="K11" s="4">
        <x:v>5889750</x:v>
      </x:c>
      <x:c r="L11" s="4">
        <x:f t="shared" si="2"/>
        <x:v>588975</x:v>
      </x:c>
      <x:c r="M11" s="5">
        <x:f t="shared" si="0"/>
        <x:v>6478725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1"/>
        <x:v>0</x:v>
      </x:c>
      <x:c r="F12" s="5">
        <x:f t="shared" si="3"/>
        <x:v>0</x:v>
      </x:c>
      <x:c r="G12" s="6"/>
      <x:c r="H12" s="299"/>
      <x:c r="I12" s="3" t="s">
        <x:v>846</x:v>
      </x:c>
      <x:c r="J12" s="3" t="s">
        <x:v>860</x:v>
      </x:c>
      <x:c r="K12" s="4">
        <x:v>2498350</x:v>
      </x:c>
      <x:c r="L12" s="4">
        <x:f t="shared" si="2"/>
        <x:v>249835</x:v>
      </x:c>
      <x:c r="M12" s="5">
        <x:f t="shared" si="0"/>
        <x:v>2748185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1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1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2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1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1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2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1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2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2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5995420</x:v>
      </x:c>
      <x:c r="E20" s="9">
        <x:f>SUM(E5:E19)</x:f>
        <x:v>599542</x:v>
      </x:c>
      <x:c r="F20" s="10">
        <x:f>SUM(F5:F19)</x:f>
        <x:v>6594962</x:v>
      </x:c>
      <x:c r="G20" s="11"/>
      <x:c r="H20" s="7"/>
      <x:c r="I20" s="8"/>
      <x:c r="J20" s="8"/>
      <x:c r="K20" s="9">
        <x:f>SUM(K5:K19)</x:f>
        <x:v>34833750</x:v>
      </x:c>
      <x:c r="L20" s="9">
        <x:f>SUM(L5:L19)</x:f>
        <x:v>3483375</x:v>
      </x:c>
      <x:c r="M20" s="10">
        <x:f>SUM(M5:M19)</x:f>
        <x:v>38317125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>
        <x:v>30235000</x:v>
      </x:c>
      <x:c r="E21" s="44"/>
      <x:c r="F21" s="45">
        <x:f>+D21+E21</x:f>
        <x:v>30235000</x:v>
      </x:c>
      <x:c r="G21" s="37"/>
      <x:c r="H21" s="301" t="s">
        <x:v>153</x:v>
      </x:c>
      <x:c r="I21" s="3" t="s">
        <x:v>1677</x:v>
      </x:c>
      <x:c r="J21" s="3"/>
      <x:c r="K21" s="4">
        <x:v>32075000</x:v>
      </x:c>
      <x:c r="L21" s="4"/>
      <x:c r="M21" s="5">
        <x:f t="shared" si="0"/>
        <x:v>32075000</x:v>
      </x:c>
      <x:c r="N21" s="6"/>
    </x:row>
    <x:row r="22" spans="1:14" ht="20.100000000000001" customHeight="1">
      <x:c r="A22" s="299"/>
      <x:c r="B22" s="3" t="s">
        <x:v>38</x:v>
      </x:c>
      <x:c r="C22" s="3"/>
      <x:c r="D22" s="44">
        <x:v>856500</x:v>
      </x:c>
      <x:c r="E22" s="44">
        <x:f>+D22*0.1</x:f>
        <x:v>85650</x:v>
      </x:c>
      <x:c r="F22" s="45">
        <x:f>+D22+E22</x:f>
        <x:v>942150</x:v>
      </x:c>
      <x:c r="G22" s="37"/>
      <x:c r="H22" s="299"/>
      <x:c r="I22" s="3" t="s">
        <x:v>40</x:v>
      </x:c>
      <x:c r="J22" s="3"/>
      <x:c r="K22" s="4">
        <x:v>11468000</x:v>
      </x:c>
      <x:c r="L22" s="4">
        <x:f t="shared" si="2"/>
        <x:v>1146800</x:v>
      </x:c>
      <x:c r="M22" s="5">
        <x:f t="shared" si="0"/>
        <x:v>12614800</x:v>
      </x:c>
      <x:c r="N22" s="6"/>
    </x:row>
    <x:row r="23" spans="1:14" ht="20.100000000000001" customHeight="1">
      <x:c r="A23" s="299"/>
      <x:c r="B23" s="3" t="s">
        <x:v>43</x:v>
      </x:c>
      <x:c r="C23" s="3"/>
      <x:c r="D23" s="4">
        <x:v>4000000</x:v>
      </x:c>
      <x:c r="E23" s="4">
        <x:f>+D23*0.1</x:f>
        <x:v>400000</x:v>
      </x:c>
      <x:c r="F23" s="5">
        <x:f>+D23+E23</x:f>
        <x:v>4400000</x:v>
      </x:c>
      <x:c r="G23" s="6"/>
      <x:c r="H23" s="299"/>
      <x:c r="I23" s="3" t="s">
        <x:v>50</x:v>
      </x:c>
      <x:c r="J23" s="3"/>
      <x:c r="K23" s="4">
        <x:v>5415500</x:v>
      </x:c>
      <x:c r="L23" s="4">
        <x:f t="shared" si="2"/>
        <x:v>541550</x:v>
      </x:c>
      <x:c r="M23" s="5">
        <x:f t="shared" si="0"/>
        <x:v>5957050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 t="shared" si="2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35091500</x:v>
      </x:c>
      <x:c r="E25" s="9">
        <x:f>SUM(E21:E24)</x:f>
        <x:v>485650</x:v>
      </x:c>
      <x:c r="F25" s="10">
        <x:f>SUM(F21:F24)</x:f>
        <x:v>35577150</x:v>
      </x:c>
      <x:c r="G25" s="11"/>
      <x:c r="H25" s="7"/>
      <x:c r="I25" s="8"/>
      <x:c r="J25" s="8"/>
      <x:c r="K25" s="9">
        <x:f>SUM(K21:K24)</x:f>
        <x:v>48958500</x:v>
      </x:c>
      <x:c r="L25" s="9">
        <x:f>SUM(L21:L24)</x:f>
        <x:v>1688350</x:v>
      </x:c>
      <x:c r="M25" s="10">
        <x:f>SUM(M21:M24)</x:f>
        <x:v>50646850</x:v>
      </x:c>
      <x:c r="N25" s="11"/>
    </x:row>
    <x:row r="26" spans="1:14" ht="20.100000000000001" customHeight="1">
      <x:c r="A26" s="301" t="s">
        <x:v>187</x:v>
      </x:c>
      <x:c r="B26" s="3" t="s">
        <x:v>870</x:v>
      </x:c>
      <x:c r="C26" s="3" t="s">
        <x:v>853</x:v>
      </x:c>
      <x:c r="D26" s="4">
        <x:v>250000</x:v>
      </x:c>
      <x:c r="E26" s="4">
        <x:f>+D26*0.1</x:f>
        <x:v>25000</x:v>
      </x:c>
      <x:c r="F26" s="5">
        <x:f>+D26+E26</x:f>
        <x:v>275000</x:v>
      </x:c>
      <x:c r="G26" s="6"/>
      <x:c r="H26" s="301" t="s">
        <x:v>187</x:v>
      </x:c>
      <x:c r="I26" s="3" t="s">
        <x:v>1693</x:v>
      </x:c>
      <x:c r="J26" s="3" t="s">
        <x:v>1687</x:v>
      </x:c>
      <x:c r="K26" s="4">
        <x:v>100000</x:v>
      </x:c>
      <x:c r="L26" s="4">
        <x:f>+K26*0.1</x:f>
        <x:v>10000</x:v>
      </x:c>
      <x:c r="M26" s="5">
        <x:f>+K26+L26</x:f>
        <x:v>110000</x:v>
      </x:c>
      <x:c r="N26" s="6"/>
    </x:row>
    <x:row r="27" spans="1:14" ht="20.100000000000001" customHeight="1">
      <x:c r="A27" s="299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299"/>
      <x:c r="I27" s="3" t="s">
        <x:v>857</x:v>
      </x:c>
      <x:c r="J27" s="3" t="s">
        <x:v>858</x:v>
      </x:c>
      <x:c r="K27" s="4">
        <x:v>680000</x:v>
      </x:c>
      <x:c r="L27" s="4">
        <x:f>+K27*0.1</x:f>
        <x:v>68000</x:v>
      </x:c>
      <x:c r="M27" s="5">
        <x:f>+K27+L27</x:f>
        <x:v>748000</x:v>
      </x:c>
      <x:c r="N27" s="6" t="s">
        <x:v>849</x:v>
      </x:c>
    </x:row>
    <x:row r="28" spans="1:14" ht="20.100000000000001" customHeight="1">
      <x:c r="A28" s="299"/>
      <x:c r="B28" s="3"/>
      <x:c r="C28" s="3"/>
      <x:c r="D28" s="4"/>
      <x:c r="E28" s="4">
        <x:f>+D28*0.1</x:f>
        <x:v>0</x:v>
      </x:c>
      <x:c r="F28" s="5">
        <x:f>+D28+E28</x:f>
        <x:v>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250000</x:v>
      </x:c>
      <x:c r="E30" s="9">
        <x:f>SUM(E26:E29)</x:f>
        <x:v>25000</x:v>
      </x:c>
      <x:c r="F30" s="10">
        <x:f>SUM(F26:F29)</x:f>
        <x:v>275000</x:v>
      </x:c>
      <x:c r="G30" s="11"/>
      <x:c r="H30" s="7"/>
      <x:c r="I30" s="8"/>
      <x:c r="J30" s="8"/>
      <x:c r="K30" s="9">
        <x:f>SUM(K26:K29)</x:f>
        <x:v>780000</x:v>
      </x:c>
      <x:c r="L30" s="9">
        <x:f>SUM(L26:L29)</x:f>
        <x:v>78000</x:v>
      </x:c>
      <x:c r="M30" s="10">
        <x:f>SUM(M26:M29)</x:f>
        <x:v>858000</x:v>
      </x:c>
      <x:c r="N30" s="11"/>
    </x:row>
    <x:row r="31" spans="1:14" ht="20.100000000000001" customHeight="1">
      <x:c r="A31" s="301" t="s">
        <x:v>149</x:v>
      </x:c>
      <x:c r="B31" s="3" t="s">
        <x:v>814</x:v>
      </x:c>
      <x:c r="C31" s="3" t="s">
        <x:v>164</x:v>
      </x:c>
      <x:c r="D31" s="4">
        <x:v>990500</x:v>
      </x:c>
      <x:c r="E31" s="4">
        <x:f>+D31*0.1</x:f>
        <x:v>99050</x:v>
      </x:c>
      <x:c r="F31" s="5">
        <x:f>+D31+E31</x:f>
        <x:v>1089550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1226500</x:v>
      </x:c>
      <x:c r="L31" s="4">
        <x:f>+K31*0.1</x:f>
        <x:v>122650</x:v>
      </x:c>
      <x:c r="M31" s="5">
        <x:f t="shared" ref="M31:M40" si="4">+K31+L31</x:f>
        <x:v>1349150</x:v>
      </x:c>
      <x:c r="N31" s="6"/>
    </x:row>
    <x:row r="32" spans="1:14" ht="20.100000000000001" customHeight="1">
      <x:c r="A32" s="299"/>
      <x:c r="B32" s="3" t="s">
        <x:v>188</x:v>
      </x:c>
      <x:c r="C32" s="3" t="s">
        <x:v>164</x:v>
      </x:c>
      <x:c r="D32" s="4">
        <x:v>1122000</x:v>
      </x:c>
      <x:c r="E32" s="4">
        <x:f>+D32*0.1</x:f>
        <x:v>112200</x:v>
      </x:c>
      <x:c r="F32" s="5">
        <x:f>+D32+E32</x:f>
        <x:v>1234200</x:v>
      </x:c>
      <x:c r="G32" s="6"/>
      <x:c r="H32" s="299"/>
      <x:c r="I32" s="3" t="s">
        <x:v>845</x:v>
      </x:c>
      <x:c r="J32" s="3" t="s">
        <x:v>825</x:v>
      </x:c>
      <x:c r="K32" s="4"/>
      <x:c r="L32" s="4"/>
      <x:c r="M32" s="5">
        <x:f t="shared" si="4"/>
        <x:v>0</x:v>
      </x:c>
      <x:c r="N32" s="6"/>
    </x:row>
    <x:row r="33" spans="1:14" ht="20.100000000000001" customHeight="1">
      <x:c r="A33" s="299"/>
      <x:c r="B33" s="3" t="s">
        <x:v>1680</x:v>
      </x:c>
      <x:c r="C33" s="3" t="s">
        <x:v>1695</x:v>
      </x:c>
      <x:c r="D33" s="4">
        <x:v>150000</x:v>
      </x:c>
      <x:c r="E33" s="4">
        <x:f>+D33*0.1</x:f>
        <x:v>15000</x:v>
      </x:c>
      <x:c r="F33" s="5">
        <x:f>+D33+E33</x:f>
        <x:v>165000</x:v>
      </x:c>
      <x:c r="G33" s="6"/>
      <x:c r="H33" s="299"/>
      <x:c r="I33" s="3" t="s">
        <x:v>820</x:v>
      </x:c>
      <x:c r="J33" s="3" t="s">
        <x:v>859</x:v>
      </x:c>
      <x:c r="K33" s="4">
        <x:v>1160500</x:v>
      </x:c>
      <x:c r="L33" s="4">
        <x:f>+K33*0.1</x:f>
        <x:v>116050</x:v>
      </x:c>
      <x:c r="M33" s="5">
        <x:f t="shared" si="4"/>
        <x:v>1276550</x:v>
      </x:c>
      <x:c r="N33" s="6" t="s">
        <x:v>849</x:v>
      </x:c>
    </x:row>
    <x:row r="34" spans="1:14" ht="20.100000000000001" customHeight="1">
      <x:c r="A34" s="299"/>
      <x:c r="B34" s="3" t="s">
        <x:v>1713</x:v>
      </x:c>
      <x:c r="C34" s="3" t="s">
        <x:v>861</x:v>
      </x:c>
      <x:c r="D34" s="4">
        <x:v>550000</x:v>
      </x:c>
      <x:c r="E34" s="4"/>
      <x:c r="F34" s="5">
        <x:f t="shared" ref="F34:F40" si="5">+D34+E34</x:f>
        <x:v>550000</x:v>
      </x:c>
      <x:c r="G34" s="6"/>
      <x:c r="H34" s="299"/>
      <x:c r="I34" s="3" t="s">
        <x:v>1680</x:v>
      </x:c>
      <x:c r="J34" s="3" t="s">
        <x:v>1695</x:v>
      </x:c>
      <x:c r="K34" s="4">
        <x:v>130000</x:v>
      </x:c>
      <x:c r="L34" s="4">
        <x:f>+K34*0.1</x:f>
        <x:v>13000</x:v>
      </x:c>
      <x:c r="M34" s="5">
        <x:f t="shared" si="4"/>
        <x:v>143000</x:v>
      </x:c>
      <x:c r="N34" s="6"/>
    </x:row>
    <x:row r="35" spans="1:14" ht="20.100000000000001" customHeight="1">
      <x:c r="A35" s="299"/>
      <x:c r="B35" s="3" t="s">
        <x:v>831</x:v>
      </x:c>
      <x:c r="C35" s="3" t="s">
        <x:v>817</x:v>
      </x:c>
      <x:c r="D35" s="4">
        <x:v>572400</x:v>
      </x:c>
      <x:c r="E35" s="4">
        <x:f>+D35*0.1</x:f>
        <x:v>57240</x:v>
      </x:c>
      <x:c r="F35" s="5">
        <x:f t="shared" si="5"/>
        <x:v>629640</x:v>
      </x:c>
      <x:c r="G35" s="6"/>
      <x:c r="H35" s="299"/>
      <x:c r="I35" s="3" t="s">
        <x:v>169</x:v>
      </x:c>
      <x:c r="J35" s="3" t="s">
        <x:v>149</x:v>
      </x:c>
      <x:c r="K35" s="4">
        <x:v>1253600</x:v>
      </x:c>
      <x:c r="L35" s="4">
        <x:v>32000</x:v>
      </x:c>
      <x:c r="M35" s="5">
        <x:f t="shared" si="4"/>
        <x:v>1285600</x:v>
      </x:c>
      <x:c r="N35" s="6"/>
    </x:row>
    <x:row r="36" spans="1:14" ht="20.100000000000001" customHeight="1">
      <x:c r="A36" s="299"/>
      <x:c r="B36" s="3" t="s">
        <x:v>177</x:v>
      </x:c>
      <x:c r="C36" s="3" t="s">
        <x:v>837</x:v>
      </x:c>
      <x:c r="D36" s="4">
        <x:v>881220</x:v>
      </x:c>
      <x:c r="E36" s="4"/>
      <x:c r="F36" s="5">
        <x:f t="shared" si="5"/>
        <x:v>881220</x:v>
      </x:c>
      <x:c r="G36" s="6"/>
      <x:c r="H36" s="299"/>
      <x:c r="I36" s="3" t="s">
        <x:v>1713</x:v>
      </x:c>
      <x:c r="J36" s="3" t="s">
        <x:v>861</x:v>
      </x:c>
      <x:c r="K36" s="4">
        <x:v>750000</x:v>
      </x:c>
      <x:c r="L36" s="4"/>
      <x:c r="M36" s="5">
        <x:f t="shared" si="4"/>
        <x:v>750000</x:v>
      </x:c>
      <x:c r="N36" s="6"/>
    </x:row>
    <x:row r="37" spans="1:14" ht="20.100000000000001" customHeight="1">
      <x:c r="A37" s="299"/>
      <x:c r="B37" s="3" t="s">
        <x:v>162</x:v>
      </x:c>
      <x:c r="C37" s="3" t="s">
        <x:v>837</x:v>
      </x:c>
      <x:c r="D37" s="4">
        <x:v>758490</x:v>
      </x:c>
      <x:c r="E37" s="4"/>
      <x:c r="F37" s="5">
        <x:f t="shared" si="5"/>
        <x:v>758490</x:v>
      </x:c>
      <x:c r="G37" s="6"/>
      <x:c r="H37" s="299"/>
      <x:c r="I37" s="3" t="s">
        <x:v>828</x:v>
      </x:c>
      <x:c r="J37" s="3" t="s">
        <x:v>167</x:v>
      </x:c>
      <x:c r="K37" s="4"/>
      <x:c r="L37" s="4">
        <x:f>+K37*0.1</x:f>
        <x:v>0</x:v>
      </x:c>
      <x:c r="M37" s="5">
        <x:f t="shared" si="4"/>
        <x:v>0</x:v>
      </x:c>
      <x:c r="N37" s="6"/>
    </x:row>
    <x:row r="38" spans="1:14" ht="20.100000000000001" customHeight="1">
      <x:c r="A38" s="299"/>
      <x:c r="B38" s="3" t="s">
        <x:v>866</x:v>
      </x:c>
      <x:c r="C38" s="3" t="s">
        <x:v>868</x:v>
      </x:c>
      <x:c r="D38" s="4">
        <x:v>255000</x:v>
      </x:c>
      <x:c r="E38" s="4">
        <x:f>+D38*0.1</x:f>
        <x:v>25500</x:v>
      </x:c>
      <x:c r="F38" s="5">
        <x:f t="shared" si="5"/>
        <x:v>280500</x:v>
      </x:c>
      <x:c r="G38" s="6"/>
      <x:c r="H38" s="299"/>
      <x:c r="I38" s="3"/>
      <x:c r="J38" s="3"/>
      <x:c r="K38" s="4"/>
      <x:c r="L38" s="4">
        <x:f>+K38*0.1</x:f>
        <x:v>0</x:v>
      </x:c>
      <x:c r="M38" s="5">
        <x:f t="shared" si="4"/>
        <x:v>0</x:v>
      </x:c>
      <x:c r="N38" s="6"/>
    </x:row>
    <x:row r="39" spans="1:14" ht="20.100000000000001" customHeight="1">
      <x:c r="A39" s="299"/>
      <x:c r="B39" s="3" t="s">
        <x:v>184</x:v>
      </x:c>
      <x:c r="C39" s="3" t="s">
        <x:v>53</x:v>
      </x:c>
      <x:c r="D39" s="4">
        <x:v>-3000000</x:v>
      </x:c>
      <x:c r="E39" s="4"/>
      <x:c r="F39" s="5">
        <x:f t="shared" si="5"/>
        <x:v>-3000000</x:v>
      </x:c>
      <x:c r="G39" s="6"/>
      <x:c r="H39" s="299"/>
      <x:c r="I39" s="3"/>
      <x:c r="J39" s="3"/>
      <x:c r="K39" s="4"/>
      <x:c r="L39" s="4"/>
      <x:c r="M39" s="5"/>
      <x:c r="N39" s="6"/>
    </x:row>
    <x:row r="40" spans="1:14" ht="20.100000000000001" customHeight="1">
      <x:c r="A40" s="300"/>
      <x:c r="B40" s="3" t="s">
        <x:v>184</x:v>
      </x:c>
      <x:c r="C40" s="3" t="s">
        <x:v>1713</x:v>
      </x:c>
      <x:c r="D40" s="4">
        <x:v>177740</x:v>
      </x:c>
      <x:c r="E40" s="4"/>
      <x:c r="F40" s="5">
        <x:f t="shared" si="5"/>
        <x:v>177740</x:v>
      </x:c>
      <x:c r="G40" s="6"/>
      <x:c r="H40" s="300"/>
      <x:c r="I40" s="3"/>
      <x:c r="J40" s="3"/>
      <x:c r="K40" s="4"/>
      <x:c r="L40" s="4">
        <x:f>+K40*0.1</x:f>
        <x:v>0</x:v>
      </x:c>
      <x:c r="M40" s="5">
        <x:f t="shared" si="4"/>
        <x:v>0</x:v>
      </x:c>
      <x:c r="N40" s="6"/>
    </x:row>
    <x:row r="41" spans="1:14" ht="20.100000000000001" customHeight="1">
      <x:c r="A41" s="7" t="s">
        <x:v>155</x:v>
      </x:c>
      <x:c r="B41" s="8"/>
      <x:c r="C41" s="8"/>
      <x:c r="D41" s="9">
        <x:f>SUM(D31:D40)</x:f>
        <x:v>2457350</x:v>
      </x:c>
      <x:c r="E41" s="9">
        <x:f>SUM(E31:E40)</x:f>
        <x:v>308990</x:v>
      </x:c>
      <x:c r="F41" s="10">
        <x:f>SUM(F31:F40)</x:f>
        <x:v>2766340</x:v>
      </x:c>
      <x:c r="G41" s="11"/>
      <x:c r="H41" s="7"/>
      <x:c r="I41" s="8"/>
      <x:c r="J41" s="8"/>
      <x:c r="K41" s="9">
        <x:f>SUM(K31:K40)</x:f>
        <x:v>4520600</x:v>
      </x:c>
      <x:c r="L41" s="9">
        <x:f>SUM(L31:L40)</x:f>
        <x:v>283700</x:v>
      </x:c>
      <x:c r="M41" s="10">
        <x:f>SUM(M31:M40)</x:f>
        <x:v>4804300</x:v>
      </x:c>
      <x:c r="N41" s="11"/>
    </x:row>
    <x:row r="42" spans="1:14" ht="20.100000000000001" customHeight="1">
      <x:c r="A42" s="12" t="s">
        <x:v>1690</x:v>
      </x:c>
      <x:c r="B42" s="13"/>
      <x:c r="C42" s="13"/>
      <x:c r="D42" s="14">
        <x:f>+D20+D25+D30+D41</x:f>
        <x:v>43794270</x:v>
      </x:c>
      <x:c r="E42" s="14">
        <x:f>+E20+E25+E30+E41</x:f>
        <x:v>1419182</x:v>
      </x:c>
      <x:c r="F42" s="15">
        <x:f>+F20+F25+F30+F41</x:f>
        <x:v>45213452</x:v>
      </x:c>
      <x:c r="G42" s="16"/>
      <x:c r="H42" s="12"/>
      <x:c r="I42" s="13"/>
      <x:c r="J42" s="13"/>
      <x:c r="K42" s="14">
        <x:f>+K20+K25+K30+K41</x:f>
        <x:v>89092850</x:v>
      </x:c>
      <x:c r="L42" s="14">
        <x:f>+L20+L25+L30+L41</x:f>
        <x:v>5533425</x:v>
      </x:c>
      <x:c r="M42" s="15">
        <x:f>+M20+M25+M30+M41</x:f>
        <x:v>94626275</x:v>
      </x:c>
      <x:c r="N42" s="16"/>
    </x:row>
    <x:row r="43" spans="1:14" ht="20.100000000000001" customHeight="1">
      <x:c r="A43" s="23" t="s">
        <x:v>35</x:v>
      </x:c>
      <x:c r="B43" s="24"/>
      <x:c r="C43" s="24"/>
      <x:c r="D43" s="25">
        <x:f>+D4-D42</x:f>
        <x:v>-43794270</x:v>
      </x:c>
      <x:c r="E43" s="25">
        <x:f>+E4-E42</x:f>
        <x:v>-1419182</x:v>
      </x:c>
      <x:c r="F43" s="26">
        <x:f>+F4-F42</x:f>
        <x:v>-45213452</x:v>
      </x:c>
      <x:c r="G43" s="27"/>
      <x:c r="H43" s="23"/>
      <x:c r="I43" s="24"/>
      <x:c r="J43" s="24"/>
      <x:c r="K43" s="25">
        <x:f>+K4-K42</x:f>
        <x:v>206361695</x:v>
      </x:c>
      <x:c r="L43" s="25">
        <x:f>+L4-L42</x:f>
        <x:v>24012029.5</x:v>
      </x:c>
      <x:c r="M43" s="26">
        <x:f>+M4-M42</x:f>
        <x:v>230373724.5</x:v>
      </x:c>
      <x:c r="N43" s="27"/>
    </x:row>
    <x:row r="44" ht="20.100000000000001" customHeight="1"/>
    <x:row r="45" ht="20.100000000000001" customHeight="1"/>
    <x:row r="46" ht="20.100000000000001" customHeight="1"/>
    <x:row r="47" ht="20.100000000000001" customHeight="1"/>
    <x:row r="48" ht="20.100000000000001" customHeight="1"/>
    <x:row r="49" ht="20.100000000000001" customHeight="1"/>
    <x:row r="50" ht="20.100000000000001" customHeight="1"/>
    <x:row r="51" ht="20.100000000000001" customHeight="1"/>
    <x:row r="52" ht="20.100000000000001" customHeight="1"/>
    <x:row r="53" ht="20.100000000000001" customHeight="1"/>
    <x:row r="54" ht="20.100000000000001" customHeight="1"/>
    <x:row r="55" ht="20.100000000000001" customHeight="1"/>
    <x:row r="56" ht="20.100000000000001" customHeight="1"/>
    <x:row r="57" ht="20.100000000000001" customHeight="1"/>
    <x:row r="58" ht="20.100000000000001" customHeight="1"/>
    <x:row r="59" ht="20.100000000000001" customHeight="1"/>
    <x:row r="60" ht="20.100000000000001" customHeight="1"/>
    <x:row r="61" ht="20.100000000000001" customHeight="1"/>
    <x:row r="62" ht="20.100000000000001" customHeight="1"/>
    <x:row r="63" ht="20.100000000000001" customHeight="1"/>
    <x:row r="64" ht="20.100000000000001" customHeight="1"/>
    <x:row r="65" ht="20.100000000000001" customHeight="1"/>
    <x:row r="66" ht="20.100000000000001" customHeight="1"/>
    <x:row r="67" ht="20.100000000000001" customHeight="1"/>
    <x:row r="68" ht="20.100000000000001" customHeight="1"/>
    <x:row r="69" ht="20.100000000000001" customHeight="1"/>
    <x:row r="70" ht="20.100000000000001" customHeight="1"/>
    <x:row r="71" ht="20.100000000000001" customHeight="1"/>
    <x:row r="72" ht="20.100000000000001" customHeight="1"/>
    <x:row r="73" ht="20.100000000000001" customHeight="1"/>
    <x:row r="74" ht="20.100000000000001" customHeight="1"/>
    <x:row r="75" ht="20.100000000000001" customHeight="1"/>
    <x:row r="76" ht="20.100000000000001" customHeight="1"/>
    <x:row r="77" ht="20.100000000000001" customHeight="1"/>
    <x:row r="78" ht="20.100000000000001" customHeight="1"/>
    <x:row r="79" ht="20.100000000000001" customHeight="1"/>
    <x:row r="80" ht="20.100000000000001" customHeight="1"/>
    <x:row r="81" ht="20.100000000000001" customHeight="1"/>
    <x:row r="82" ht="20.100000000000001" customHeight="1"/>
    <x:row r="83" ht="20.100000000000001" customHeight="1"/>
    <x:row r="84" ht="20.100000000000001" customHeight="1"/>
    <x:row r="85" ht="20.100000000000001" customHeight="1"/>
    <x:row r="86" ht="20.100000000000001" customHeight="1"/>
    <x:row r="87" ht="20.100000000000001" customHeight="1"/>
    <x:row r="88" ht="20.100000000000001" customHeight="1"/>
    <x:row r="89" ht="20.100000000000001" customHeight="1"/>
    <x:row r="90" ht="20.100000000000001" customHeight="1"/>
    <x:row r="91" ht="20.100000000000001" customHeight="1"/>
    <x:row r="92" ht="20.100000000000001" customHeight="1"/>
    <x:row r="93" ht="20.100000000000001" customHeight="1"/>
    <x:row r="94" ht="20.100000000000001" customHeight="1"/>
    <x:row r="95" ht="20.100000000000001" customHeight="1"/>
    <x:row r="96" ht="20.100000000000001" customHeight="1"/>
    <x:row r="97" ht="20.100000000000001" customHeight="1"/>
    <x:row r="98" ht="20.100000000000001" customHeight="1"/>
    <x:row r="99" ht="20.100000000000001" customHeight="1"/>
    <x:row r="100" ht="20.100000000000001" customHeight="1"/>
    <x:row r="101" ht="20.100000000000001" customHeight="1"/>
    <x:row r="102" ht="20.100000000000001" customHeight="1"/>
    <x:row r="103" ht="20.100000000000001" customHeight="1"/>
    <x:row r="104" ht="20.100000000000001" customHeight="1"/>
    <x:row r="105" ht="20.100000000000001" customHeight="1"/>
    <x:row r="106" ht="20.100000000000001" customHeight="1"/>
    <x:row r="107" ht="20.100000000000001" customHeight="1"/>
    <x:row r="108" ht="20.100000000000001" customHeight="1"/>
    <x:row r="109" ht="20.100000000000001" customHeight="1"/>
    <x:row r="110" ht="20.100000000000001" customHeight="1"/>
    <x:row r="111" ht="20.100000000000001" customHeight="1"/>
    <x:row r="112" ht="20.100000000000001" customHeight="1"/>
    <x:row r="113" ht="20.100000000000001" customHeight="1"/>
    <x:row r="114" ht="20.100000000000001" customHeight="1"/>
    <x:row r="115" ht="20.100000000000001" customHeight="1"/>
    <x:row r="116" ht="20.100000000000001" customHeight="1"/>
    <x:row r="117" ht="20.100000000000001" customHeight="1"/>
    <x:row r="118" ht="20.100000000000001" customHeight="1"/>
  </x:sheetData>
  <x:mergeCells count="11">
    <x:mergeCell ref="A26:A29"/>
    <x:mergeCell ref="H26:H29"/>
    <x:mergeCell ref="A31:A40"/>
    <x:mergeCell ref="H31:H40"/>
    <x:mergeCell ref="A1:N1"/>
    <x:mergeCell ref="A2:G2"/>
    <x:mergeCell ref="H2:N2"/>
    <x:mergeCell ref="A5:A19"/>
    <x:mergeCell ref="H5:H19"/>
    <x:mergeCell ref="A21:A24"/>
    <x:mergeCell ref="H21:H24"/>
  </x:mergeCells>
  <x:pageMargins left="0.7086111307144165" right="0.7086111307144165" top="0.40000000596046448" bottom="0.40999999642372131" header="0.31486111879348755" footer="0.31486111879348755"/>
  <x:pageSetup paperSize="9" scale="61" firstPageNumber="1" fitToWidth="1" fitToHeight="1" orientation="landscape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N127"/>
  <x:sheetViews>
    <x:sheetView view="pageBreakPreview" topLeftCell="A106" zoomScaleNormal="100" zoomScaleSheetLayoutView="100" workbookViewId="0">
      <x:selection activeCell="C10" activeCellId="0" sqref="C10:C10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47" t="s">
        <x:v>151</x:v>
      </x:c>
      <x:c r="B4" s="38" t="s">
        <x:v>1679</x:v>
      </x:c>
      <x:c r="C4" s="38" t="s">
        <x:v>156</x:v>
      </x:c>
      <x:c r="D4" s="39">
        <x:v>84307273</x:v>
      </x:c>
      <x:c r="E4" s="39">
        <x:f>+D4*0.1</x:f>
        <x:v>8430727.3000000007</x:v>
      </x:c>
      <x:c r="F4" s="40">
        <x:f>+D4+E4</x:f>
        <x:v>92738000.299999997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310340000</x:v>
      </x:c>
      <x:c r="L4" s="39">
        <x:v>14660000</x:v>
      </x:c>
      <x:c r="M4" s="40">
        <x:f>+K4+L4</x:f>
        <x:v>325000000</x:v>
      </x:c>
      <x:c r="N4" s="42"/>
    </x:row>
    <x:row r="5" spans="1:14" ht="20.100000000000001" customHeight="1">
      <x:c r="A5" s="298" t="s">
        <x:v>148</x:v>
      </x:c>
      <x:c r="B5" s="19" t="s">
        <x:v>839</x:v>
      </x:c>
      <x:c r="C5" s="19" t="s">
        <x:v>88</x:v>
      </x:c>
      <x:c r="D5" s="20">
        <x:v>50000</x:v>
      </x:c>
      <x:c r="E5" s="20">
        <x:f>+INT(D5*0.1)</x:f>
        <x:v>5000</x:v>
      </x:c>
      <x:c r="F5" s="21">
        <x:f>+D5+E5</x:f>
        <x:v>55000</x:v>
      </x:c>
      <x:c r="G5" s="22"/>
      <x:c r="H5" s="298" t="s">
        <x:v>148</x:v>
      </x:c>
      <x:c r="I5" s="19" t="s">
        <x:v>838</x:v>
      </x:c>
      <x:c r="J5" s="19" t="s">
        <x:v>328</x:v>
      </x:c>
      <x:c r="K5" s="20">
        <x:v>2000600</x:v>
      </x:c>
      <x:c r="L5" s="20">
        <x:f>+K5*0.1</x:f>
        <x:v>200060</x:v>
      </x:c>
      <x:c r="M5" s="21">
        <x:f t="shared" ref="M5:M24" si="0">+K5+L5</x:f>
        <x:v>2200660</x:v>
      </x:c>
      <x:c r="N5" s="22"/>
    </x:row>
    <x:row r="6" spans="1:14" ht="20.100000000000001" customHeight="1">
      <x:c r="A6" s="299"/>
      <x:c r="B6" s="3" t="s">
        <x:v>867</x:v>
      </x:c>
      <x:c r="C6" s="3" t="s">
        <x:v>865</x:v>
      </x:c>
      <x:c r="D6" s="4">
        <x:v>231000</x:v>
      </x:c>
      <x:c r="E6" s="4">
        <x:f t="shared" ref="E6:E18" si="1">+INT(D6*0.1)</x:f>
        <x:v>23100</x:v>
      </x:c>
      <x:c r="F6" s="5">
        <x:f>+D6+E6</x:f>
        <x:v>254100</x:v>
      </x:c>
      <x:c r="G6" s="6"/>
      <x:c r="H6" s="299"/>
      <x:c r="I6" s="3" t="s">
        <x:v>867</x:v>
      </x:c>
      <x:c r="J6" s="3" t="s">
        <x:v>55</x:v>
      </x:c>
      <x:c r="K6" s="4">
        <x:v>4938525</x:v>
      </x:c>
      <x:c r="L6" s="4">
        <x:f>+K6*0.1</x:f>
        <x:v>493852.5</x:v>
      </x:c>
      <x:c r="M6" s="5">
        <x:f t="shared" si="0"/>
        <x:v>5432377.5</x:v>
      </x:c>
      <x:c r="N6" s="6"/>
    </x:row>
    <x:row r="7" spans="1:14" ht="20.100000000000001" customHeight="1">
      <x:c r="A7" s="299"/>
      <x:c r="B7" s="3" t="s">
        <x:v>854</x:v>
      </x:c>
      <x:c r="C7" s="3" t="s">
        <x:v>54</x:v>
      </x:c>
      <x:c r="D7" s="4">
        <x:v>207340</x:v>
      </x:c>
      <x:c r="E7" s="4">
        <x:f t="shared" si="1"/>
        <x:v>20734</x:v>
      </x:c>
      <x:c r="F7" s="5">
        <x:f>+D7+E7</x:f>
        <x:v>228074</x:v>
      </x:c>
      <x:c r="G7" s="6"/>
      <x:c r="H7" s="299"/>
      <x:c r="I7" s="3" t="s">
        <x:v>34</x:v>
      </x:c>
      <x:c r="J7" s="3" t="s">
        <x:v>59</x:v>
      </x:c>
      <x:c r="K7" s="4">
        <x:v>2758000</x:v>
      </x:c>
      <x:c r="L7" s="4">
        <x:f t="shared" ref="L7:L24" si="2">+K7*0.1</x:f>
        <x:v>275800</x:v>
      </x:c>
      <x:c r="M7" s="5">
        <x:f t="shared" si="0"/>
        <x:v>3033800</x:v>
      </x:c>
      <x:c r="N7" s="6"/>
    </x:row>
    <x:row r="8" spans="1:14" ht="20.100000000000001" customHeight="1">
      <x:c r="A8" s="299"/>
      <x:c r="B8" s="3" t="s">
        <x:v>846</x:v>
      </x:c>
      <x:c r="C8" s="3" t="s">
        <x:v>320</x:v>
      </x:c>
      <x:c r="D8" s="4">
        <x:v>222500</x:v>
      </x:c>
      <x:c r="E8" s="4">
        <x:f t="shared" si="1"/>
        <x:v>22250</x:v>
      </x:c>
      <x:c r="F8" s="5">
        <x:f t="shared" ref="F8:F18" si="3">+D8+E8</x:f>
        <x:v>244750</x:v>
      </x:c>
      <x:c r="G8" s="6"/>
      <x:c r="H8" s="299"/>
      <x:c r="I8" s="3" t="s">
        <x:v>864</x:v>
      </x:c>
      <x:c r="J8" s="3" t="s">
        <x:v>1729</x:v>
      </x:c>
      <x:c r="K8" s="4">
        <x:v>5850250</x:v>
      </x:c>
      <x:c r="L8" s="4">
        <x:f t="shared" si="2"/>
        <x:v>585025</x:v>
      </x:c>
      <x:c r="M8" s="5">
        <x:f t="shared" si="0"/>
        <x:v>6435275</x:v>
      </x:c>
      <x:c r="N8" s="6"/>
    </x:row>
    <x:row r="9" spans="1:14" ht="20.100000000000001" customHeight="1">
      <x:c r="A9" s="299"/>
      <x:c r="B9" s="3"/>
      <x:c r="C9" s="3"/>
      <x:c r="D9" s="4"/>
      <x:c r="E9" s="4">
        <x:f t="shared" si="1"/>
        <x:v>0</x:v>
      </x:c>
      <x:c r="F9" s="5">
        <x:f t="shared" si="3"/>
        <x:v>0</x:v>
      </x:c>
      <x:c r="G9" s="6"/>
      <x:c r="H9" s="299"/>
      <x:c r="I9" s="3" t="s">
        <x:v>846</x:v>
      </x:c>
      <x:c r="J9" s="3" t="s">
        <x:v>57</x:v>
      </x:c>
      <x:c r="K9" s="4">
        <x:v>407360</x:v>
      </x:c>
      <x:c r="L9" s="4">
        <x:f t="shared" si="2"/>
        <x:v>40736</x:v>
      </x:c>
      <x:c r="M9" s="5">
        <x:f t="shared" si="0"/>
        <x:v>448096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/>
      <x:c r="J10" s="3"/>
      <x:c r="K10" s="4"/>
      <x:c r="L10" s="4">
        <x:f t="shared" si="2"/>
        <x:v>0</x:v>
      </x:c>
      <x:c r="M10" s="5">
        <x:f t="shared" si="0"/>
        <x:v>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1"/>
        <x:v>0</x:v>
      </x:c>
      <x:c r="F12" s="5">
        <x:f t="shared" si="3"/>
        <x:v>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1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1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2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1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1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2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1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2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2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710840</x:v>
      </x:c>
      <x:c r="E20" s="9">
        <x:f>SUM(E5:E19)</x:f>
        <x:v>71084</x:v>
      </x:c>
      <x:c r="F20" s="10">
        <x:f>SUM(F5:F19)</x:f>
        <x:v>781924</x:v>
      </x:c>
      <x:c r="G20" s="11"/>
      <x:c r="H20" s="7"/>
      <x:c r="I20" s="8"/>
      <x:c r="J20" s="8"/>
      <x:c r="K20" s="9">
        <x:f>SUM(K5:K19)</x:f>
        <x:v>15954735</x:v>
      </x:c>
      <x:c r="L20" s="9">
        <x:f>SUM(L5:L19)</x:f>
        <x:v>1595473.5</x:v>
      </x:c>
      <x:c r="M20" s="10">
        <x:f>SUM(M5:M19)</x:f>
        <x:v>17550208.5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>
        <x:v>17902000</x:v>
      </x:c>
      <x:c r="E21" s="44"/>
      <x:c r="F21" s="45">
        <x:f>+D21+E21</x:f>
        <x:v>17902000</x:v>
      </x:c>
      <x:c r="G21" s="37"/>
      <x:c r="H21" s="301" t="s">
        <x:v>153</x:v>
      </x:c>
      <x:c r="I21" s="3" t="s">
        <x:v>1677</x:v>
      </x:c>
      <x:c r="J21" s="3"/>
      <x:c r="K21" s="4">
        <x:v>35737500</x:v>
      </x:c>
      <x:c r="L21" s="4"/>
      <x:c r="M21" s="5">
        <x:f t="shared" si="0"/>
        <x:v>35737500</x:v>
      </x:c>
      <x:c r="N21" s="6"/>
    </x:row>
    <x:row r="22" spans="1:14" ht="20.100000000000001" customHeight="1">
      <x:c r="A22" s="299"/>
      <x:c r="B22" s="3" t="s">
        <x:v>43</x:v>
      </x:c>
      <x:c r="C22" s="3"/>
      <x:c r="D22" s="4">
        <x:v>1197000</x:v>
      </x:c>
      <x:c r="E22" s="4">
        <x:f>+D22*0.1</x:f>
        <x:v>119700</x:v>
      </x:c>
      <x:c r="F22" s="5">
        <x:f>+D22+E22</x:f>
        <x:v>1316700</x:v>
      </x:c>
      <x:c r="G22" s="37"/>
      <x:c r="H22" s="299"/>
      <x:c r="I22" s="3" t="s">
        <x:v>40</x:v>
      </x:c>
      <x:c r="J22" s="3"/>
      <x:c r="K22" s="4">
        <x:v>4800000</x:v>
      </x:c>
      <x:c r="L22" s="4"/>
      <x:c r="M22" s="5">
        <x:f t="shared" si="0"/>
        <x:v>4800000</x:v>
      </x:c>
      <x:c r="N22" s="6"/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 t="s">
        <x:v>50</x:v>
      </x:c>
      <x:c r="J23" s="3"/>
      <x:c r="K23" s="4">
        <x:v>3004500</x:v>
      </x:c>
      <x:c r="L23" s="4">
        <x:f t="shared" si="2"/>
        <x:v>300450</x:v>
      </x:c>
      <x:c r="M23" s="5">
        <x:f t="shared" si="0"/>
        <x:v>3304950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 t="shared" si="2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19099000</x:v>
      </x:c>
      <x:c r="E25" s="9">
        <x:f>SUM(E21:E24)</x:f>
        <x:v>119700</x:v>
      </x:c>
      <x:c r="F25" s="10">
        <x:f>SUM(F21:F24)</x:f>
        <x:v>19218700</x:v>
      </x:c>
      <x:c r="G25" s="11"/>
      <x:c r="H25" s="7"/>
      <x:c r="I25" s="8"/>
      <x:c r="J25" s="8"/>
      <x:c r="K25" s="9">
        <x:f>SUM(K21:K24)</x:f>
        <x:v>43542000</x:v>
      </x:c>
      <x:c r="L25" s="9">
        <x:f>SUM(L21:L24)</x:f>
        <x:v>300450</x:v>
      </x:c>
      <x:c r="M25" s="10">
        <x:f>SUM(M21:M24)</x:f>
        <x:v>43842450</x:v>
      </x:c>
      <x:c r="N25" s="11"/>
    </x:row>
    <x:row r="26" spans="1:14" ht="20.100000000000001" customHeight="1">
      <x:c r="A26" s="301" t="s">
        <x:v>187</x:v>
      </x:c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1" t="s">
        <x:v>187</x:v>
      </x:c>
      <x:c r="I26" s="3" t="s">
        <x:v>1693</x:v>
      </x:c>
      <x:c r="J26" s="3" t="s">
        <x:v>1687</x:v>
      </x:c>
      <x:c r="K26" s="4">
        <x:v>50000</x:v>
      </x:c>
      <x:c r="L26" s="4">
        <x:f>+K26*0.1</x:f>
        <x:v>5000</x:v>
      </x:c>
      <x:c r="M26" s="5">
        <x:f>+K26+L26</x:f>
        <x:v>55000</x:v>
      </x:c>
      <x:c r="N26" s="6"/>
    </x:row>
    <x:row r="27" spans="1:14" ht="20.100000000000001" customHeight="1">
      <x:c r="A27" s="299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299"/>
      <x:c r="I27" s="3" t="s">
        <x:v>857</x:v>
      </x:c>
      <x:c r="J27" s="3" t="s">
        <x:v>858</x:v>
      </x:c>
      <x:c r="K27" s="4">
        <x:v>300000</x:v>
      </x:c>
      <x:c r="L27" s="4">
        <x:f>+K27*0.1</x:f>
        <x:v>30000</x:v>
      </x:c>
      <x:c r="M27" s="5">
        <x:f>+K27+L27</x:f>
        <x:v>330000</x:v>
      </x:c>
      <x:c r="N27" s="6" t="s">
        <x:v>849</x:v>
      </x:c>
    </x:row>
    <x:row r="28" spans="1:14" ht="20.100000000000001" customHeight="1">
      <x:c r="A28" s="299"/>
      <x:c r="B28" s="3"/>
      <x:c r="C28" s="3"/>
      <x:c r="D28" s="4"/>
      <x:c r="E28" s="4">
        <x:f>+D28*0.1</x:f>
        <x:v>0</x:v>
      </x:c>
      <x:c r="F28" s="5">
        <x:f>+D28+E28</x:f>
        <x:v>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0</x:v>
      </x:c>
      <x:c r="E30" s="9">
        <x:f>SUM(E26:E29)</x:f>
        <x:v>0</x:v>
      </x:c>
      <x:c r="F30" s="10">
        <x:f>SUM(F26:F29)</x:f>
        <x:v>0</x:v>
      </x:c>
      <x:c r="G30" s="11"/>
      <x:c r="H30" s="7"/>
      <x:c r="I30" s="8"/>
      <x:c r="J30" s="8"/>
      <x:c r="K30" s="9">
        <x:f>SUM(K26:K29)</x:f>
        <x:v>350000</x:v>
      </x:c>
      <x:c r="L30" s="9">
        <x:f>SUM(L26:L29)</x:f>
        <x:v>35000</x:v>
      </x:c>
      <x:c r="M30" s="10">
        <x:f>SUM(M26:M29)</x:f>
        <x:v>385000</x:v>
      </x:c>
      <x:c r="N30" s="11"/>
    </x:row>
    <x:row r="31" spans="1:14" ht="20.100000000000001" customHeight="1">
      <x:c r="A31" s="301" t="s">
        <x:v>149</x:v>
      </x:c>
      <x:c r="B31" s="3" t="s">
        <x:v>814</x:v>
      </x:c>
      <x:c r="C31" s="3" t="s">
        <x:v>164</x:v>
      </x:c>
      <x:c r="D31" s="4">
        <x:v>742500</x:v>
      </x:c>
      <x:c r="E31" s="4">
        <x:f>+D31*0.1</x:f>
        <x:v>74250</x:v>
      </x:c>
      <x:c r="F31" s="5">
        <x:f>+D31+E31</x:f>
        <x:v>816750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1237500</x:v>
      </x:c>
      <x:c r="L31" s="4">
        <x:f>+K31*0.1</x:f>
        <x:v>123750</x:v>
      </x:c>
      <x:c r="M31" s="5">
        <x:f t="shared" ref="M31:M40" si="4">+K31+L31</x:f>
        <x:v>1361250</x:v>
      </x:c>
      <x:c r="N31" s="6"/>
    </x:row>
    <x:row r="32" spans="1:14" ht="20.100000000000001" customHeight="1">
      <x:c r="A32" s="299"/>
      <x:c r="B32" s="3" t="s">
        <x:v>188</x:v>
      </x:c>
      <x:c r="C32" s="3" t="s">
        <x:v>164</x:v>
      </x:c>
      <x:c r="D32" s="4">
        <x:v>564000</x:v>
      </x:c>
      <x:c r="E32" s="4">
        <x:f>+D32*0.1</x:f>
        <x:v>56400</x:v>
      </x:c>
      <x:c r="F32" s="5">
        <x:f>+D32+E32</x:f>
        <x:v>620400</x:v>
      </x:c>
      <x:c r="G32" s="6"/>
      <x:c r="H32" s="299"/>
      <x:c r="I32" s="3" t="s">
        <x:v>845</x:v>
      </x:c>
      <x:c r="J32" s="3" t="s">
        <x:v>825</x:v>
      </x:c>
      <x:c r="K32" s="4"/>
      <x:c r="L32" s="4"/>
      <x:c r="M32" s="5">
        <x:f t="shared" si="4"/>
        <x:v>0</x:v>
      </x:c>
      <x:c r="N32" s="6"/>
    </x:row>
    <x:row r="33" spans="1:14" ht="20.100000000000001" customHeight="1">
      <x:c r="A33" s="299"/>
      <x:c r="B33" s="3" t="s">
        <x:v>1680</x:v>
      </x:c>
      <x:c r="C33" s="3" t="s">
        <x:v>1695</x:v>
      </x:c>
      <x:c r="D33" s="4">
        <x:v>150000</x:v>
      </x:c>
      <x:c r="E33" s="4">
        <x:f>+D33*0.1</x:f>
        <x:v>15000</x:v>
      </x:c>
      <x:c r="F33" s="5">
        <x:f>+D33+E33</x:f>
        <x:v>165000</x:v>
      </x:c>
      <x:c r="G33" s="6"/>
      <x:c r="H33" s="299"/>
      <x:c r="I33" s="3" t="s">
        <x:v>820</x:v>
      </x:c>
      <x:c r="J33" s="3" t="s">
        <x:v>859</x:v>
      </x:c>
      <x:c r="K33" s="4">
        <x:v>499500</x:v>
      </x:c>
      <x:c r="L33" s="4">
        <x:f>+K33*0.1</x:f>
        <x:v>49950</x:v>
      </x:c>
      <x:c r="M33" s="5">
        <x:f t="shared" si="4"/>
        <x:v>549450</x:v>
      </x:c>
      <x:c r="N33" s="6" t="s">
        <x:v>849</x:v>
      </x:c>
    </x:row>
    <x:row r="34" spans="1:14" ht="20.100000000000001" customHeight="1">
      <x:c r="A34" s="299"/>
      <x:c r="B34" s="3" t="s">
        <x:v>1713</x:v>
      </x:c>
      <x:c r="C34" s="3" t="s">
        <x:v>869</x:v>
      </x:c>
      <x:c r="D34" s="4">
        <x:v>550000</x:v>
      </x:c>
      <x:c r="E34" s="4"/>
      <x:c r="F34" s="5">
        <x:f t="shared" ref="F34:F40" si="5">+D34+E34</x:f>
        <x:v>550000</x:v>
      </x:c>
      <x:c r="G34" s="6"/>
      <x:c r="H34" s="299"/>
      <x:c r="I34" s="3" t="s">
        <x:v>1680</x:v>
      </x:c>
      <x:c r="J34" s="3" t="s">
        <x:v>1695</x:v>
      </x:c>
      <x:c r="K34" s="4">
        <x:v>130000</x:v>
      </x:c>
      <x:c r="L34" s="4">
        <x:f>+K34*0.1</x:f>
        <x:v>13000</x:v>
      </x:c>
      <x:c r="M34" s="5">
        <x:f t="shared" si="4"/>
        <x:v>143000</x:v>
      </x:c>
      <x:c r="N34" s="6"/>
    </x:row>
    <x:row r="35" spans="1:14" ht="20.100000000000001" customHeight="1">
      <x:c r="A35" s="299"/>
      <x:c r="B35" s="3" t="s">
        <x:v>831</x:v>
      </x:c>
      <x:c r="C35" s="3" t="s">
        <x:v>817</x:v>
      </x:c>
      <x:c r="D35" s="4"/>
      <x:c r="E35" s="4">
        <x:f>+D35*0.1</x:f>
        <x:v>0</x:v>
      </x:c>
      <x:c r="F35" s="5">
        <x:f t="shared" si="5"/>
        <x:v>0</x:v>
      </x:c>
      <x:c r="G35" s="6"/>
      <x:c r="H35" s="299"/>
      <x:c r="I35" s="3" t="s">
        <x:v>169</x:v>
      </x:c>
      <x:c r="J35" s="3" t="s">
        <x:v>149</x:v>
      </x:c>
      <x:c r="K35" s="4">
        <x:v>2335560</x:v>
      </x:c>
      <x:c r="L35" s="4">
        <x:v>7000</x:v>
      </x:c>
      <x:c r="M35" s="5">
        <x:f t="shared" si="4"/>
        <x:v>2342560</x:v>
      </x:c>
      <x:c r="N35" s="6"/>
    </x:row>
    <x:row r="36" spans="1:14" ht="20.100000000000001" customHeight="1">
      <x:c r="A36" s="299"/>
      <x:c r="B36" s="3" t="s">
        <x:v>177</x:v>
      </x:c>
      <x:c r="C36" s="3" t="s">
        <x:v>837</x:v>
      </x:c>
      <x:c r="D36" s="4">
        <x:v>430842</x:v>
      </x:c>
      <x:c r="E36" s="4"/>
      <x:c r="F36" s="5">
        <x:f t="shared" si="5"/>
        <x:v>430842</x:v>
      </x:c>
      <x:c r="G36" s="6"/>
      <x:c r="H36" s="299"/>
      <x:c r="I36" s="3" t="s">
        <x:v>1713</x:v>
      </x:c>
      <x:c r="J36" s="3" t="s">
        <x:v>869</x:v>
      </x:c>
      <x:c r="K36" s="4">
        <x:v>-4600000</x:v>
      </x:c>
      <x:c r="L36" s="4"/>
      <x:c r="M36" s="5">
        <x:f t="shared" si="4"/>
        <x:v>-4600000</x:v>
      </x:c>
      <x:c r="N36" s="6"/>
    </x:row>
    <x:row r="37" spans="1:14" ht="20.100000000000001" customHeight="1">
      <x:c r="A37" s="299"/>
      <x:c r="B37" s="3" t="s">
        <x:v>162</x:v>
      </x:c>
      <x:c r="C37" s="3" t="s">
        <x:v>837</x:v>
      </x:c>
      <x:c r="D37" s="4">
        <x:v>1171570</x:v>
      </x:c>
      <x:c r="E37" s="4"/>
      <x:c r="F37" s="5">
        <x:f t="shared" si="5"/>
        <x:v>1171570</x:v>
      </x:c>
      <x:c r="G37" s="6"/>
      <x:c r="H37" s="299"/>
      <x:c r="I37" s="3" t="s">
        <x:v>828</x:v>
      </x:c>
      <x:c r="J37" s="3" t="s">
        <x:v>167</x:v>
      </x:c>
      <x:c r="K37" s="4"/>
      <x:c r="L37" s="4">
        <x:f>+K37*0.1</x:f>
        <x:v>0</x:v>
      </x:c>
      <x:c r="M37" s="5">
        <x:f t="shared" si="4"/>
        <x:v>0</x:v>
      </x:c>
      <x:c r="N37" s="6"/>
    </x:row>
    <x:row r="38" spans="1:14" ht="20.100000000000001" customHeight="1">
      <x:c r="A38" s="299"/>
      <x:c r="B38" s="3"/>
      <x:c r="C38" s="3"/>
      <x:c r="D38" s="4"/>
      <x:c r="E38" s="4">
        <x:f>+D38*0.1</x:f>
        <x:v>0</x:v>
      </x:c>
      <x:c r="F38" s="5">
        <x:f t="shared" si="5"/>
        <x:v>0</x:v>
      </x:c>
      <x:c r="G38" s="6"/>
      <x:c r="H38" s="299"/>
      <x:c r="I38" s="3" t="s">
        <x:v>874</x:v>
      </x:c>
      <x:c r="J38" s="3" t="s">
        <x:v>319</x:v>
      </x:c>
      <x:c r="K38" s="4">
        <x:v>650000</x:v>
      </x:c>
      <x:c r="L38" s="4">
        <x:f>+K38*0.1</x:f>
        <x:v>65000</x:v>
      </x:c>
      <x:c r="M38" s="5">
        <x:f t="shared" si="4"/>
        <x:v>715000</x:v>
      </x:c>
      <x:c r="N38" s="6"/>
    </x:row>
    <x:row r="39" spans="1:14" ht="20.100000000000001" customHeight="1">
      <x:c r="A39" s="299"/>
      <x:c r="B39" s="3"/>
      <x:c r="C39" s="3"/>
      <x:c r="D39" s="4"/>
      <x:c r="E39" s="4"/>
      <x:c r="F39" s="5">
        <x:f t="shared" si="5"/>
        <x:v>0</x:v>
      </x:c>
      <x:c r="G39" s="6"/>
      <x:c r="H39" s="299"/>
      <x:c r="I39" s="3"/>
      <x:c r="J39" s="3"/>
      <x:c r="K39" s="4"/>
      <x:c r="L39" s="4"/>
      <x:c r="M39" s="5"/>
      <x:c r="N39" s="6"/>
    </x:row>
    <x:row r="40" spans="1:14" ht="20.100000000000001" customHeight="1">
      <x:c r="A40" s="300"/>
      <x:c r="B40" s="3"/>
      <x:c r="C40" s="3"/>
      <x:c r="D40" s="4"/>
      <x:c r="E40" s="4"/>
      <x:c r="F40" s="5">
        <x:f t="shared" si="5"/>
        <x:v>0</x:v>
      </x:c>
      <x:c r="G40" s="6"/>
      <x:c r="H40" s="300"/>
      <x:c r="I40" s="3"/>
      <x:c r="J40" s="3"/>
      <x:c r="K40" s="4"/>
      <x:c r="L40" s="4">
        <x:f>+K40*0.1</x:f>
        <x:v>0</x:v>
      </x:c>
      <x:c r="M40" s="5">
        <x:f t="shared" si="4"/>
        <x:v>0</x:v>
      </x:c>
      <x:c r="N40" s="6"/>
    </x:row>
    <x:row r="41" spans="1:14" ht="20.100000000000001" customHeight="1">
      <x:c r="A41" s="7" t="s">
        <x:v>155</x:v>
      </x:c>
      <x:c r="B41" s="8"/>
      <x:c r="C41" s="8"/>
      <x:c r="D41" s="9">
        <x:f>SUM(D31:D40)</x:f>
        <x:v>3608912</x:v>
      </x:c>
      <x:c r="E41" s="9">
        <x:f>SUM(E31:E40)</x:f>
        <x:v>145650</x:v>
      </x:c>
      <x:c r="F41" s="10">
        <x:f>SUM(F31:F40)</x:f>
        <x:v>3754562</x:v>
      </x:c>
      <x:c r="G41" s="11"/>
      <x:c r="H41" s="7"/>
      <x:c r="I41" s="8"/>
      <x:c r="J41" s="8"/>
      <x:c r="K41" s="9">
        <x:f>SUM(K31:K40)</x:f>
        <x:v>252560</x:v>
      </x:c>
      <x:c r="L41" s="9">
        <x:f>SUM(L31:L40)</x:f>
        <x:v>258700</x:v>
      </x:c>
      <x:c r="M41" s="10">
        <x:f>SUM(M31:M40)</x:f>
        <x:v>511260</x:v>
      </x:c>
      <x:c r="N41" s="11"/>
    </x:row>
    <x:row r="42" spans="1:14" ht="20.100000000000001" customHeight="1">
      <x:c r="A42" s="12" t="s">
        <x:v>1690</x:v>
      </x:c>
      <x:c r="B42" s="13"/>
      <x:c r="C42" s="13"/>
      <x:c r="D42" s="14">
        <x:f>+D20+D25+D30+D41</x:f>
        <x:v>23418752</x:v>
      </x:c>
      <x:c r="E42" s="14">
        <x:f>+E20+E25+E30+E41</x:f>
        <x:v>336434</x:v>
      </x:c>
      <x:c r="F42" s="15">
        <x:f>+F20+F25+F30+F41</x:f>
        <x:v>23755186</x:v>
      </x:c>
      <x:c r="G42" s="16"/>
      <x:c r="H42" s="12"/>
      <x:c r="I42" s="13"/>
      <x:c r="J42" s="13"/>
      <x:c r="K42" s="14">
        <x:f>+K20+K25+K30+K41</x:f>
        <x:v>60099295</x:v>
      </x:c>
      <x:c r="L42" s="14">
        <x:f>+L20+L25+L30+L41</x:f>
        <x:v>2189623.5</x:v>
      </x:c>
      <x:c r="M42" s="15">
        <x:f>+M20+M25+M30+M41</x:f>
        <x:v>62288918.5</x:v>
      </x:c>
      <x:c r="N42" s="16"/>
    </x:row>
    <x:row r="43" spans="1:14" ht="20.100000000000001" customHeight="1">
      <x:c r="A43" s="23" t="s">
        <x:v>35</x:v>
      </x:c>
      <x:c r="B43" s="24"/>
      <x:c r="C43" s="24"/>
      <x:c r="D43" s="25">
        <x:f>+D4-D42</x:f>
        <x:v>60888521</x:v>
      </x:c>
      <x:c r="E43" s="25">
        <x:f>+E4-E42</x:f>
        <x:v>8094293.3000000007</x:v>
      </x:c>
      <x:c r="F43" s="26">
        <x:f>+F4-F42</x:f>
        <x:v>68982814.299999997</x:v>
      </x:c>
      <x:c r="G43" s="27"/>
      <x:c r="H43" s="23"/>
      <x:c r="I43" s="24"/>
      <x:c r="J43" s="24"/>
      <x:c r="K43" s="25">
        <x:f>+K4-K42</x:f>
        <x:v>250240705</x:v>
      </x:c>
      <x:c r="L43" s="25">
        <x:f>+L4-L42</x:f>
        <x:v>12470376.5</x:v>
      </x:c>
      <x:c r="M43" s="26">
        <x:f>+M4-M42</x:f>
        <x:v>262711081.5</x:v>
      </x:c>
      <x:c r="N43" s="27"/>
    </x:row>
    <x:row r="44" spans="1:14" ht="20.100000000000001" customHeight="1">
      <x:c r="A44" s="296" t="s">
        <x:v>871</x:v>
      </x:c>
      <x:c r="B44" s="297"/>
      <x:c r="C44" s="297"/>
      <x:c r="D44" s="297"/>
      <x:c r="E44" s="297"/>
      <x:c r="F44" s="297"/>
      <x:c r="G44" s="297"/>
      <x:c r="H44" s="302" t="s">
        <x:v>58</x:v>
      </x:c>
      <x:c r="I44" s="303"/>
      <x:c r="J44" s="303"/>
      <x:c r="K44" s="303"/>
      <x:c r="L44" s="303"/>
      <x:c r="M44" s="304"/>
      <x:c r="N44" s="305"/>
    </x:row>
    <x:row r="45" spans="1:14" ht="20.100000000000001" customHeight="1">
      <x:c r="A45" s="29" t="s">
        <x:v>147</x:v>
      </x:c>
      <x:c r="B45" s="30" t="s">
        <x:v>144</x:v>
      </x:c>
      <x:c r="C45" s="30" t="s">
        <x:v>150</x:v>
      </x:c>
      <x:c r="D45" s="31" t="s">
        <x:v>145</x:v>
      </x:c>
      <x:c r="E45" s="31" t="s">
        <x:v>152</x:v>
      </x:c>
      <x:c r="F45" s="32" t="s">
        <x:v>146</x:v>
      </x:c>
      <x:c r="G45" s="33" t="s">
        <x:v>154</x:v>
      </x:c>
      <x:c r="H45" s="29" t="s">
        <x:v>147</x:v>
      </x:c>
      <x:c r="I45" s="30" t="s">
        <x:v>144</x:v>
      </x:c>
      <x:c r="J45" s="30" t="s">
        <x:v>150</x:v>
      </x:c>
      <x:c r="K45" s="31" t="s">
        <x:v>145</x:v>
      </x:c>
      <x:c r="L45" s="31" t="s">
        <x:v>152</x:v>
      </x:c>
      <x:c r="M45" s="31" t="s">
        <x:v>146</x:v>
      </x:c>
      <x:c r="N45" s="34" t="s">
        <x:v>154</x:v>
      </x:c>
    </x:row>
    <x:row r="46" spans="1:14" ht="20.100000000000001" customHeight="1">
      <x:c r="A46" s="47" t="s">
        <x:v>151</x:v>
      </x:c>
      <x:c r="B46" s="38" t="s">
        <x:v>1679</x:v>
      </x:c>
      <x:c r="C46" s="38" t="s">
        <x:v>56</x:v>
      </x:c>
      <x:c r="D46" s="39"/>
      <x:c r="E46" s="39">
        <x:f>+D46*0.1</x:f>
        <x:v>0</x:v>
      </x:c>
      <x:c r="F46" s="40">
        <x:f>+D46+E46</x:f>
        <x:v>0</x:v>
      </x:c>
      <x:c r="G46" s="18"/>
      <x:c r="H46" s="41" t="s">
        <x:v>151</x:v>
      </x:c>
      <x:c r="I46" s="38" t="s">
        <x:v>1679</x:v>
      </x:c>
      <x:c r="J46" s="38" t="s">
        <x:v>1678</x:v>
      </x:c>
      <x:c r="K46" s="39"/>
      <x:c r="L46" s="39"/>
      <x:c r="M46" s="40">
        <x:f>+K46+L46</x:f>
        <x:v>0</x:v>
      </x:c>
      <x:c r="N46" s="42"/>
    </x:row>
    <x:row r="47" spans="1:14" ht="20.100000000000001" customHeight="1">
      <x:c r="A47" s="298" t="s">
        <x:v>148</x:v>
      </x:c>
      <x:c r="B47" s="19"/>
      <x:c r="C47" s="19"/>
      <x:c r="D47" s="20"/>
      <x:c r="E47" s="20">
        <x:f>+INT(D47*0.1)</x:f>
        <x:v>0</x:v>
      </x:c>
      <x:c r="F47" s="21">
        <x:f>+D47+E47</x:f>
        <x:v>0</x:v>
      </x:c>
      <x:c r="G47" s="22"/>
      <x:c r="H47" s="298" t="s">
        <x:v>148</x:v>
      </x:c>
      <x:c r="I47" s="19" t="s">
        <x:v>875</x:v>
      </x:c>
      <x:c r="J47" s="19" t="s">
        <x:v>317</x:v>
      </x:c>
      <x:c r="K47" s="20">
        <x:v>4050000</x:v>
      </x:c>
      <x:c r="L47" s="20">
        <x:f>+K47*0.1</x:f>
        <x:v>405000</x:v>
      </x:c>
      <x:c r="M47" s="21">
        <x:f t="shared" ref="M47:M61" si="6">+K47+L47</x:f>
        <x:v>4455000</x:v>
      </x:c>
      <x:c r="N47" s="22"/>
    </x:row>
    <x:row r="48" spans="1:14" ht="20.100000000000001" customHeight="1">
      <x:c r="A48" s="299"/>
      <x:c r="B48" s="3"/>
      <x:c r="C48" s="3"/>
      <x:c r="D48" s="4"/>
      <x:c r="E48" s="4">
        <x:f t="shared" ref="E48:E60" si="7">+INT(D48*0.1)</x:f>
        <x:v>0</x:v>
      </x:c>
      <x:c r="F48" s="5">
        <x:f>+D48+E48</x:f>
        <x:v>0</x:v>
      </x:c>
      <x:c r="G48" s="6"/>
      <x:c r="H48" s="299"/>
      <x:c r="I48" s="3" t="s">
        <x:v>840</x:v>
      </x:c>
      <x:c r="J48" s="3" t="s">
        <x:v>332</x:v>
      </x:c>
      <x:c r="K48" s="4">
        <x:v>1633700</x:v>
      </x:c>
      <x:c r="L48" s="4">
        <x:f>+K48*0.1</x:f>
        <x:v>163370</x:v>
      </x:c>
      <x:c r="M48" s="5">
        <x:f t="shared" si="6"/>
        <x:v>1797070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7"/>
        <x:v>0</x:v>
      </x:c>
      <x:c r="F49" s="5">
        <x:f>+D49+E49</x:f>
        <x:v>0</x:v>
      </x:c>
      <x:c r="G49" s="6"/>
      <x:c r="H49" s="299"/>
      <x:c r="I49" s="3" t="s">
        <x:v>867</x:v>
      </x:c>
      <x:c r="J49" s="3" t="s">
        <x:v>60</x:v>
      </x:c>
      <x:c r="K49" s="4">
        <x:v>1371100</x:v>
      </x:c>
      <x:c r="L49" s="4">
        <x:f t="shared" ref="L49:L61" si="8">+K49*0.1</x:f>
        <x:v>137110</x:v>
      </x:c>
      <x:c r="M49" s="5">
        <x:f t="shared" si="6"/>
        <x:v>1508210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7"/>
        <x:v>0</x:v>
      </x:c>
      <x:c r="F50" s="5">
        <x:f t="shared" ref="F50:F60" si="9">+D50+E50</x:f>
        <x:v>0</x:v>
      </x:c>
      <x:c r="G50" s="6"/>
      <x:c r="H50" s="299"/>
      <x:c r="I50" s="3"/>
      <x:c r="J50" s="3"/>
      <x:c r="K50" s="4"/>
      <x:c r="L50" s="4">
        <x:f t="shared" si="8"/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7"/>
        <x:v>0</x:v>
      </x:c>
      <x:c r="F51" s="5">
        <x:f t="shared" si="9"/>
        <x:v>0</x:v>
      </x:c>
      <x:c r="G51" s="6"/>
      <x:c r="H51" s="299"/>
      <x:c r="I51" s="3"/>
      <x:c r="J51" s="3"/>
      <x:c r="K51" s="4"/>
      <x:c r="L51" s="4">
        <x:f t="shared" si="8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7"/>
        <x:v>0</x:v>
      </x:c>
      <x:c r="F52" s="5">
        <x:f t="shared" si="9"/>
        <x:v>0</x:v>
      </x:c>
      <x:c r="G52" s="6"/>
      <x:c r="H52" s="299"/>
      <x:c r="I52" s="3"/>
      <x:c r="J52" s="3"/>
      <x:c r="K52" s="4"/>
      <x:c r="L52" s="4">
        <x:f t="shared" si="8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7"/>
        <x:v>0</x:v>
      </x:c>
      <x:c r="F53" s="5">
        <x:f t="shared" si="9"/>
        <x:v>0</x:v>
      </x:c>
      <x:c r="G53" s="6"/>
      <x:c r="H53" s="299"/>
      <x:c r="I53" s="3"/>
      <x:c r="J53" s="3"/>
      <x:c r="K53" s="4"/>
      <x:c r="L53" s="4">
        <x:f t="shared" si="8"/>
        <x:v>0</x:v>
      </x:c>
      <x:c r="M53" s="5">
        <x:f t="shared" si="6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7"/>
        <x:v>0</x:v>
      </x:c>
      <x:c r="F54" s="5">
        <x:f t="shared" si="9"/>
        <x:v>0</x:v>
      </x:c>
      <x:c r="G54" s="6"/>
      <x:c r="H54" s="299"/>
      <x:c r="I54" s="3"/>
      <x:c r="J54" s="3"/>
      <x:c r="K54" s="4"/>
      <x:c r="L54" s="4">
        <x:f t="shared" si="8"/>
        <x:v>0</x:v>
      </x:c>
      <x:c r="M54" s="5">
        <x:f t="shared" si="6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7"/>
        <x:v>0</x:v>
      </x:c>
      <x:c r="F55" s="5">
        <x:f t="shared" si="9"/>
        <x:v>0</x:v>
      </x:c>
      <x:c r="G55" s="6"/>
      <x:c r="H55" s="299"/>
      <x:c r="I55" s="3"/>
      <x:c r="J55" s="3"/>
      <x:c r="K55" s="4"/>
      <x:c r="L55" s="4">
        <x:f t="shared" si="8"/>
        <x:v>0</x:v>
      </x:c>
      <x:c r="M55" s="5">
        <x:f t="shared" si="6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7"/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 t="shared" si="8"/>
        <x:v>0</x:v>
      </x:c>
      <x:c r="M56" s="5">
        <x:f t="shared" si="6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7"/>
        <x:v>0</x:v>
      </x:c>
      <x:c r="F57" s="5">
        <x:f t="shared" si="9"/>
        <x:v>0</x:v>
      </x:c>
      <x:c r="G57" s="6"/>
      <x:c r="H57" s="299"/>
      <x:c r="I57" s="3"/>
      <x:c r="J57" s="3"/>
      <x:c r="K57" s="4"/>
      <x:c r="L57" s="4">
        <x:f t="shared" si="8"/>
        <x:v>0</x:v>
      </x:c>
      <x:c r="M57" s="5">
        <x:f t="shared" si="6"/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 t="shared" si="7"/>
        <x:v>0</x:v>
      </x:c>
      <x:c r="F58" s="5">
        <x:f t="shared" si="9"/>
        <x:v>0</x:v>
      </x:c>
      <x:c r="G58" s="6"/>
      <x:c r="H58" s="299"/>
      <x:c r="I58" s="3"/>
      <x:c r="J58" s="3"/>
      <x:c r="K58" s="4"/>
      <x:c r="L58" s="4">
        <x:f t="shared" si="8"/>
        <x:v>0</x:v>
      </x:c>
      <x:c r="M58" s="5">
        <x:f t="shared" si="6"/>
        <x:v>0</x:v>
      </x:c>
      <x:c r="N58" s="6"/>
    </x:row>
    <x:row r="59" spans="1:14" ht="20.100000000000001" customHeight="1">
      <x:c r="A59" s="299"/>
      <x:c r="B59" s="3"/>
      <x:c r="C59" s="3"/>
      <x:c r="D59" s="4"/>
      <x:c r="E59" s="4">
        <x:f t="shared" si="7"/>
        <x:v>0</x:v>
      </x:c>
      <x:c r="F59" s="5">
        <x:f t="shared" si="9"/>
        <x:v>0</x:v>
      </x:c>
      <x:c r="G59" s="6"/>
      <x:c r="H59" s="299"/>
      <x:c r="I59" s="3"/>
      <x:c r="J59" s="3"/>
      <x:c r="K59" s="4"/>
      <x:c r="L59" s="4">
        <x:f t="shared" si="8"/>
        <x:v>0</x:v>
      </x:c>
      <x:c r="M59" s="5">
        <x:f t="shared" si="6"/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 t="shared" si="7"/>
        <x:v>0</x:v>
      </x:c>
      <x:c r="F60" s="5">
        <x:f t="shared" si="9"/>
        <x:v>0</x:v>
      </x:c>
      <x:c r="G60" s="6"/>
      <x:c r="H60" s="299"/>
      <x:c r="I60" s="3"/>
      <x:c r="J60" s="3"/>
      <x:c r="K60" s="4"/>
      <x:c r="L60" s="4">
        <x:f t="shared" si="8"/>
        <x:v>0</x:v>
      </x:c>
      <x:c r="M60" s="5">
        <x:f t="shared" si="6"/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/>
      <x:c r="F61" s="5"/>
      <x:c r="G61" s="6"/>
      <x:c r="H61" s="300"/>
      <x:c r="I61" s="3"/>
      <x:c r="J61" s="3"/>
      <x:c r="K61" s="4"/>
      <x:c r="L61" s="4">
        <x:f t="shared" si="8"/>
        <x:v>0</x:v>
      </x:c>
      <x:c r="M61" s="5">
        <x:f t="shared" si="6"/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SUM(D47:D61)</x:f>
        <x:v>0</x:v>
      </x:c>
      <x:c r="E62" s="9">
        <x:f>SUM(E47:E61)</x:f>
        <x:v>0</x:v>
      </x:c>
      <x:c r="F62" s="10">
        <x:f>SUM(F47:F61)</x:f>
        <x:v>0</x:v>
      </x:c>
      <x:c r="G62" s="11"/>
      <x:c r="H62" s="7"/>
      <x:c r="I62" s="8"/>
      <x:c r="J62" s="8"/>
      <x:c r="K62" s="9">
        <x:f>SUM(K47:K61)</x:f>
        <x:v>7054800</x:v>
      </x:c>
      <x:c r="L62" s="9">
        <x:f>SUM(L47:L61)</x:f>
        <x:v>705480</x:v>
      </x:c>
      <x:c r="M62" s="10">
        <x:f>SUM(M47:M61)</x:f>
        <x:v>7760280</x:v>
      </x:c>
      <x:c r="N62" s="11"/>
    </x:row>
    <x:row r="63" spans="1:14" ht="20.100000000000001" customHeight="1">
      <x:c r="A63" s="301" t="s">
        <x:v>153</x:v>
      </x:c>
      <x:c r="B63" s="3" t="s">
        <x:v>873</x:v>
      </x:c>
      <x:c r="C63" s="3" t="s">
        <x:v>847</x:v>
      </x:c>
      <x:c r="D63" s="44">
        <x:v>1000000</x:v>
      </x:c>
      <x:c r="E63" s="44">
        <x:f>+D63*0.1</x:f>
        <x:v>100000</x:v>
      </x:c>
      <x:c r="F63" s="45">
        <x:f>+D63+E63</x:f>
        <x:v>1100000</x:v>
      </x:c>
      <x:c r="G63" s="37"/>
      <x:c r="H63" s="301" t="s">
        <x:v>153</x:v>
      </x:c>
      <x:c r="I63" s="3" t="s">
        <x:v>1677</x:v>
      </x:c>
      <x:c r="J63" s="3"/>
      <x:c r="K63" s="4">
        <x:v>720000</x:v>
      </x:c>
      <x:c r="L63" s="4"/>
      <x:c r="M63" s="5">
        <x:f>+K63+L63</x:f>
        <x:v>720000</x:v>
      </x:c>
      <x:c r="N63" s="6"/>
    </x:row>
    <x:row r="64" spans="1:14" ht="20.100000000000001" customHeight="1">
      <x:c r="A64" s="299"/>
      <x:c r="B64" s="3"/>
      <x:c r="C64" s="3"/>
      <x:c r="D64" s="44"/>
      <x:c r="E64" s="44">
        <x:f>+D64*0.1</x:f>
        <x:v>0</x:v>
      </x:c>
      <x:c r="F64" s="45">
        <x:f>+D64+E64</x:f>
        <x:v>0</x:v>
      </x:c>
      <x:c r="G64" s="37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1000000</x:v>
      </x:c>
      <x:c r="E67" s="9">
        <x:f>SUM(E63:E66)</x:f>
        <x:v>100000</x:v>
      </x:c>
      <x:c r="F67" s="10">
        <x:f>SUM(F63:F66)</x:f>
        <x:v>1100000</x:v>
      </x:c>
      <x:c r="G67" s="11"/>
      <x:c r="H67" s="7"/>
      <x:c r="I67" s="8"/>
      <x:c r="J67" s="8"/>
      <x:c r="K67" s="9">
        <x:f>SUM(K63:K66)</x:f>
        <x:v>720000</x:v>
      </x:c>
      <x:c r="L67" s="9">
        <x:f>SUM(L63:L66)</x:f>
        <x:v>0</x:v>
      </x:c>
      <x:c r="M67" s="10">
        <x:f>SUM(M63:M66)</x:f>
        <x:v>720000</x:v>
      </x:c>
      <x:c r="N67" s="11"/>
    </x:row>
    <x:row r="68" spans="1:14" ht="20.100000000000001" customHeight="1">
      <x:c r="A68" s="301" t="s">
        <x:v>187</x:v>
      </x:c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1" t="s">
        <x:v>187</x:v>
      </x:c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299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</x:row>
    <x:row r="71" spans="1:14" ht="20.100000000000001" customHeight="1">
      <x:c r="A71" s="300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300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</x:row>
    <x:row r="72" spans="1:14" ht="20.100000000000001" customHeight="1">
      <x:c r="A72" s="7" t="s">
        <x:v>155</x:v>
      </x:c>
      <x:c r="B72" s="8"/>
      <x:c r="C72" s="8"/>
      <x:c r="D72" s="9">
        <x:f>SUM(D68:D71)</x:f>
        <x:v>0</x:v>
      </x:c>
      <x:c r="E72" s="9">
        <x:f>SUM(E68:E71)</x:f>
        <x:v>0</x:v>
      </x:c>
      <x:c r="F72" s="10">
        <x:f>SUM(F68:F71)</x:f>
        <x:v>0</x:v>
      </x:c>
      <x:c r="G72" s="11"/>
      <x:c r="H72" s="7"/>
      <x:c r="I72" s="8"/>
      <x:c r="J72" s="8"/>
      <x:c r="K72" s="9">
        <x:f>SUM(K68:K71)</x:f>
        <x:v>0</x:v>
      </x:c>
      <x:c r="L72" s="9">
        <x:f>SUM(L68:L71)</x:f>
        <x:v>0</x:v>
      </x:c>
      <x:c r="M72" s="10">
        <x:f>SUM(M68:M71)</x:f>
        <x:v>0</x:v>
      </x:c>
      <x:c r="N72" s="11"/>
    </x:row>
    <x:row r="73" spans="1:14" ht="20.100000000000001" customHeight="1">
      <x:c r="A73" s="301" t="s">
        <x:v>149</x:v>
      </x:c>
      <x:c r="B73" s="3"/>
      <x:c r="C73" s="3"/>
      <x:c r="D73" s="4"/>
      <x:c r="E73" s="4"/>
      <x:c r="F73" s="5">
        <x:f>+D73+E73</x:f>
        <x:v>0</x:v>
      </x:c>
      <x:c r="G73" s="6"/>
      <x:c r="H73" s="301" t="s">
        <x:v>149</x:v>
      </x:c>
      <x:c r="I73" s="3"/>
      <x:c r="J73" s="3"/>
      <x:c r="K73" s="4"/>
      <x:c r="L73" s="4">
        <x:f>+K73*0.1</x:f>
        <x:v>0</x:v>
      </x:c>
      <x:c r="M73" s="5">
        <x:f t="shared" ref="M73:M80" si="10">+K73+L73</x:f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/>
      <x:c r="F74" s="5">
        <x:f>+D74+E74</x:f>
        <x:v>0</x:v>
      </x:c>
      <x:c r="G74" s="6"/>
      <x:c r="H74" s="299"/>
      <x:c r="I74" s="3"/>
      <x:c r="J74" s="3"/>
      <x:c r="K74" s="4"/>
      <x:c r="L74" s="4">
        <x:f t="shared" ref="L74:L79" si="11">+K74*0.1</x:f>
        <x:v>0</x:v>
      </x:c>
      <x:c r="M74" s="5">
        <x:f t="shared" si="10"/>
        <x:v>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>+D75+E75</x:f>
        <x:v>0</x:v>
      </x:c>
      <x:c r="G75" s="6"/>
      <x:c r="H75" s="299"/>
      <x:c r="I75" s="3"/>
      <x:c r="J75" s="3"/>
      <x:c r="K75" s="4"/>
      <x:c r="L75" s="4">
        <x:f t="shared" si="11"/>
        <x:v>0</x:v>
      </x:c>
      <x:c r="M75" s="5">
        <x:f t="shared" si="10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ref="F76:F82" si="12">+D76+E76</x:f>
        <x:v>0</x:v>
      </x:c>
      <x:c r="G76" s="6"/>
      <x:c r="H76" s="299"/>
      <x:c r="I76" s="3"/>
      <x:c r="J76" s="3"/>
      <x:c r="K76" s="4"/>
      <x:c r="L76" s="4">
        <x:f t="shared" si="11"/>
        <x:v>0</x:v>
      </x:c>
      <x:c r="M76" s="5">
        <x:f t="shared" si="10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 t="shared" si="11"/>
        <x:v>0</x:v>
      </x:c>
      <x:c r="M77" s="5">
        <x:f t="shared" si="10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>
        <x:f t="shared" si="11"/>
        <x:v>0</x:v>
      </x:c>
      <x:c r="M78" s="5">
        <x:f t="shared" si="10"/>
        <x:v>0</x:v>
      </x:c>
      <x:c r="N78" s="6"/>
    </x:row>
    <x:row r="79" spans="1:14" ht="20.100000000000001" customHeight="1">
      <x:c r="A79" s="299"/>
      <x:c r="B79" s="3"/>
      <x:c r="C79" s="3"/>
      <x:c r="D79" s="4"/>
      <x:c r="E79" s="4"/>
      <x:c r="F79" s="5">
        <x:f t="shared" si="12"/>
        <x:v>0</x:v>
      </x:c>
      <x:c r="G79" s="6"/>
      <x:c r="H79" s="299"/>
      <x:c r="I79" s="3"/>
      <x:c r="J79" s="3"/>
      <x:c r="K79" s="4"/>
      <x:c r="L79" s="4">
        <x:f t="shared" si="11"/>
        <x:v>0</x:v>
      </x:c>
      <x:c r="M79" s="5">
        <x:f t="shared" si="10"/>
        <x:v>0</x:v>
      </x:c>
      <x:c r="N79" s="6"/>
    </x:row>
    <x:row r="80" spans="1:14" ht="20.100000000000001" customHeight="1">
      <x:c r="A80" s="299"/>
      <x:c r="B80" s="3"/>
      <x:c r="C80" s="3"/>
      <x:c r="D80" s="4"/>
      <x:c r="E80" s="4"/>
      <x:c r="F80" s="5">
        <x:f t="shared" si="12"/>
        <x:v>0</x:v>
      </x:c>
      <x:c r="G80" s="6"/>
      <x:c r="H80" s="299"/>
      <x:c r="I80" s="3"/>
      <x:c r="J80" s="3"/>
      <x:c r="K80" s="4"/>
      <x:c r="L80" s="4">
        <x:f>+K80*0.1</x:f>
        <x:v>0</x:v>
      </x:c>
      <x:c r="M80" s="5">
        <x:f t="shared" si="10"/>
        <x:v>0</x:v>
      </x:c>
      <x:c r="N80" s="6"/>
    </x:row>
    <x:row r="81" spans="1:14" ht="20.100000000000001" customHeight="1">
      <x:c r="A81" s="299"/>
      <x:c r="B81" s="3"/>
      <x:c r="C81" s="3"/>
      <x:c r="D81" s="4"/>
      <x:c r="E81" s="4"/>
      <x:c r="F81" s="5">
        <x:f t="shared" si="12"/>
        <x:v>0</x:v>
      </x:c>
      <x:c r="G81" s="6"/>
      <x:c r="H81" s="299"/>
      <x:c r="I81" s="3"/>
      <x:c r="J81" s="3"/>
      <x:c r="K81" s="4"/>
      <x:c r="L81" s="4"/>
      <x:c r="M81" s="5"/>
      <x:c r="N81" s="6"/>
    </x:row>
    <x:row r="82" spans="1:14" ht="20.100000000000001" customHeight="1">
      <x:c r="A82" s="300"/>
      <x:c r="B82" s="3"/>
      <x:c r="C82" s="3"/>
      <x:c r="D82" s="4"/>
      <x:c r="E82" s="4"/>
      <x:c r="F82" s="5">
        <x:f t="shared" si="12"/>
        <x:v>0</x:v>
      </x:c>
      <x:c r="G82" s="6"/>
      <x:c r="H82" s="300"/>
      <x:c r="I82" s="3"/>
      <x:c r="J82" s="3"/>
      <x:c r="K82" s="4"/>
      <x:c r="L82" s="4">
        <x:f>+K82*0.1</x:f>
        <x:v>0</x:v>
      </x:c>
      <x:c r="M82" s="5">
        <x:f>+K82+L82</x:f>
        <x:v>0</x:v>
      </x:c>
      <x:c r="N82" s="6"/>
    </x:row>
    <x:row r="83" spans="1:14" ht="20.100000000000001" customHeight="1">
      <x:c r="A83" s="7" t="s">
        <x:v>155</x:v>
      </x:c>
      <x:c r="B83" s="8"/>
      <x:c r="C83" s="8"/>
      <x:c r="D83" s="9">
        <x:f>SUM(D73:D82)</x:f>
        <x:v>0</x:v>
      </x:c>
      <x:c r="E83" s="9">
        <x:f>SUM(E73:E82)</x:f>
        <x:v>0</x:v>
      </x:c>
      <x:c r="F83" s="10">
        <x:f>SUM(F73:F82)</x:f>
        <x:v>0</x:v>
      </x:c>
      <x:c r="G83" s="11"/>
      <x:c r="H83" s="7"/>
      <x:c r="I83" s="8"/>
      <x:c r="J83" s="8"/>
      <x:c r="K83" s="9">
        <x:f>SUM(K73:K82)</x:f>
        <x:v>0</x:v>
      </x:c>
      <x:c r="L83" s="9">
        <x:f>SUM(L73:L82)</x:f>
        <x:v>0</x:v>
      </x:c>
      <x:c r="M83" s="10">
        <x:f>SUM(M73:M82)</x:f>
        <x:v>0</x:v>
      </x:c>
      <x:c r="N83" s="11"/>
    </x:row>
    <x:row r="84" spans="1:14" ht="20.100000000000001" customHeight="1">
      <x:c r="A84" s="12" t="s">
        <x:v>1690</x:v>
      </x:c>
      <x:c r="B84" s="13"/>
      <x:c r="C84" s="13"/>
      <x:c r="D84" s="14">
        <x:f>+D62+D67+D72+D83</x:f>
        <x:v>1000000</x:v>
      </x:c>
      <x:c r="E84" s="14">
        <x:f>+E62+E67+E72+E83</x:f>
        <x:v>100000</x:v>
      </x:c>
      <x:c r="F84" s="15">
        <x:f>+F62+F67+F72+F83</x:f>
        <x:v>1100000</x:v>
      </x:c>
      <x:c r="G84" s="16"/>
      <x:c r="H84" s="12"/>
      <x:c r="I84" s="13"/>
      <x:c r="J84" s="13"/>
      <x:c r="K84" s="14">
        <x:f>+K62+K67+K72+K83</x:f>
        <x:v>7774800</x:v>
      </x:c>
      <x:c r="L84" s="14">
        <x:f>+L62+L67+L72+L83</x:f>
        <x:v>705480</x:v>
      </x:c>
      <x:c r="M84" s="15">
        <x:f>+M62+M67+M72+M83</x:f>
        <x:v>8480280</x:v>
      </x:c>
      <x:c r="N84" s="16"/>
    </x:row>
    <x:row r="85" spans="1:14" ht="20.100000000000001" customHeight="1">
      <x:c r="A85" s="23" t="s">
        <x:v>35</x:v>
      </x:c>
      <x:c r="B85" s="24"/>
      <x:c r="C85" s="24"/>
      <x:c r="D85" s="25">
        <x:f>+D46-D84</x:f>
        <x:v>-1000000</x:v>
      </x:c>
      <x:c r="E85" s="25">
        <x:f>+E46-E84</x:f>
        <x:v>-100000</x:v>
      </x:c>
      <x:c r="F85" s="26">
        <x:f>+F46-F84</x:f>
        <x:v>-1100000</x:v>
      </x:c>
      <x:c r="G85" s="27"/>
      <x:c r="H85" s="23"/>
      <x:c r="I85" s="24"/>
      <x:c r="J85" s="24"/>
      <x:c r="K85" s="25">
        <x:f>+K46-K84</x:f>
        <x:v>-7774800</x:v>
      </x:c>
      <x:c r="L85" s="25">
        <x:f>+L46-L84</x:f>
        <x:v>-705480</x:v>
      </x:c>
      <x:c r="M85" s="26">
        <x:f>+M46-M84</x:f>
        <x:v>-8480280</x:v>
      </x:c>
      <x:c r="N85" s="27"/>
    </x:row>
    <x:row r="86" spans="1:14" ht="20.100000000000001" customHeight="1">
      <x:c r="A86" s="296" t="s">
        <x:v>316</x:v>
      </x:c>
      <x:c r="B86" s="297"/>
      <x:c r="C86" s="297"/>
      <x:c r="D86" s="297"/>
      <x:c r="E86" s="297"/>
      <x:c r="F86" s="297"/>
      <x:c r="G86" s="297"/>
      <x:c r="H86" s="302" t="s">
        <x:v>333</x:v>
      </x:c>
      <x:c r="I86" s="303"/>
      <x:c r="J86" s="303"/>
      <x:c r="K86" s="303"/>
      <x:c r="L86" s="303"/>
      <x:c r="M86" s="304"/>
      <x:c r="N86" s="305"/>
    </x:row>
    <x:row r="87" spans="1:14" ht="20.100000000000001" customHeight="1">
      <x:c r="A87" s="29" t="s">
        <x:v>147</x:v>
      </x:c>
      <x:c r="B87" s="30" t="s">
        <x:v>144</x:v>
      </x:c>
      <x:c r="C87" s="30" t="s">
        <x:v>150</x:v>
      </x:c>
      <x:c r="D87" s="31" t="s">
        <x:v>145</x:v>
      </x:c>
      <x:c r="E87" s="31" t="s">
        <x:v>152</x:v>
      </x:c>
      <x:c r="F87" s="32" t="s">
        <x:v>146</x:v>
      </x:c>
      <x:c r="G87" s="33" t="s">
        <x:v>154</x:v>
      </x:c>
      <x:c r="H87" s="29" t="s">
        <x:v>147</x:v>
      </x:c>
      <x:c r="I87" s="30" t="s">
        <x:v>144</x:v>
      </x:c>
      <x:c r="J87" s="30" t="s">
        <x:v>150</x:v>
      </x:c>
      <x:c r="K87" s="31" t="s">
        <x:v>145</x:v>
      </x:c>
      <x:c r="L87" s="31" t="s">
        <x:v>152</x:v>
      </x:c>
      <x:c r="M87" s="31" t="s">
        <x:v>146</x:v>
      </x:c>
      <x:c r="N87" s="34" t="s">
        <x:v>154</x:v>
      </x:c>
    </x:row>
    <x:row r="88" spans="1:14" ht="20.100000000000001" customHeight="1">
      <x:c r="A88" s="47" t="s">
        <x:v>151</x:v>
      </x:c>
      <x:c r="B88" s="38" t="s">
        <x:v>1679</x:v>
      </x:c>
      <x:c r="C88" s="38" t="s">
        <x:v>906</x:v>
      </x:c>
      <x:c r="D88" s="39"/>
      <x:c r="E88" s="39">
        <x:f>+D88*0.1</x:f>
        <x:v>0</x:v>
      </x:c>
      <x:c r="F88" s="40">
        <x:f>+D88+E88</x:f>
        <x:v>0</x:v>
      </x:c>
      <x:c r="G88" s="18"/>
      <x:c r="H88" s="41" t="s">
        <x:v>151</x:v>
      </x:c>
      <x:c r="I88" s="38" t="s">
        <x:v>1679</x:v>
      </x:c>
      <x:c r="J88" s="38" t="s">
        <x:v>906</x:v>
      </x:c>
      <x:c r="K88" s="39"/>
      <x:c r="L88" s="39"/>
      <x:c r="M88" s="40">
        <x:f>+K88+L88</x:f>
        <x:v>0</x:v>
      </x:c>
      <x:c r="N88" s="42"/>
    </x:row>
    <x:row r="89" spans="1:14" ht="20.100000000000001" customHeight="1">
      <x:c r="A89" s="298" t="s">
        <x:v>148</x:v>
      </x:c>
      <x:c r="B89" s="19"/>
      <x:c r="C89" s="19"/>
      <x:c r="D89" s="20"/>
      <x:c r="E89" s="20">
        <x:f>+INT(D89*0.1)</x:f>
        <x:v>0</x:v>
      </x:c>
      <x:c r="F89" s="21">
        <x:f>+D89+E89</x:f>
        <x:v>0</x:v>
      </x:c>
      <x:c r="G89" s="22"/>
      <x:c r="H89" s="298" t="s">
        <x:v>148</x:v>
      </x:c>
      <x:c r="I89" s="19"/>
      <x:c r="J89" s="19"/>
      <x:c r="K89" s="20"/>
      <x:c r="L89" s="20">
        <x:f>+K89*0.1</x:f>
        <x:v>0</x:v>
      </x:c>
      <x:c r="M89" s="21">
        <x:f t="shared" ref="M89:M103" si="13">+K89+L89</x:f>
        <x:v>0</x:v>
      </x:c>
      <x:c r="N89" s="22"/>
    </x:row>
    <x:row r="90" spans="1:14" ht="20.100000000000001" customHeight="1">
      <x:c r="A90" s="299"/>
      <x:c r="B90" s="3"/>
      <x:c r="C90" s="3"/>
      <x:c r="D90" s="4"/>
      <x:c r="E90" s="4">
        <x:f t="shared" ref="E90:E102" si="14">+INT(D90*0.1)</x:f>
        <x:v>0</x:v>
      </x:c>
      <x:c r="F90" s="5">
        <x:f>+D90+E90</x:f>
        <x:v>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>+D91+E91</x:f>
        <x:v>0</x:v>
      </x:c>
      <x:c r="G91" s="6"/>
      <x:c r="H91" s="299"/>
      <x:c r="I91" s="3"/>
      <x:c r="J91" s="3"/>
      <x:c r="K91" s="4"/>
      <x:c r="L91" s="4">
        <x:f t="shared" ref="L91:L103" si="15"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ref="F92:F102" si="16">+D92+E92</x:f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4"/>
        <x:v>0</x:v>
      </x:c>
      <x:c r="F98" s="5">
        <x:f t="shared" si="16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4"/>
        <x:v>0</x:v>
      </x:c>
      <x:c r="F99" s="5">
        <x:f t="shared" si="16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 t="shared" si="14"/>
        <x:v>0</x:v>
      </x:c>
      <x:c r="F100" s="5">
        <x:f t="shared" si="16"/>
        <x:v>0</x:v>
      </x:c>
      <x:c r="G100" s="6"/>
      <x:c r="H100" s="299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 t="shared" si="14"/>
        <x:v>0</x:v>
      </x:c>
      <x:c r="F101" s="5">
        <x:f t="shared" si="16"/>
        <x:v>0</x:v>
      </x:c>
      <x:c r="G101" s="6"/>
      <x:c r="H101" s="299"/>
      <x:c r="I101" s="3"/>
      <x:c r="J101" s="3"/>
      <x:c r="K101" s="4"/>
      <x:c r="L101" s="4">
        <x:f t="shared" si="15"/>
        <x:v>0</x:v>
      </x:c>
      <x:c r="M101" s="5">
        <x:f t="shared" si="13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 t="shared" si="14"/>
        <x:v>0</x:v>
      </x:c>
      <x:c r="F102" s="5">
        <x:f t="shared" si="16"/>
        <x:v>0</x:v>
      </x:c>
      <x:c r="G102" s="6"/>
      <x:c r="H102" s="299"/>
      <x:c r="I102" s="3"/>
      <x:c r="J102" s="3"/>
      <x:c r="K102" s="4"/>
      <x:c r="L102" s="4">
        <x:f t="shared" si="15"/>
        <x:v>0</x:v>
      </x:c>
      <x:c r="M102" s="5">
        <x:f t="shared" si="13"/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/>
      <x:c r="F103" s="5"/>
      <x:c r="G103" s="6"/>
      <x:c r="H103" s="300"/>
      <x:c r="I103" s="3"/>
      <x:c r="J103" s="3"/>
      <x:c r="K103" s="4"/>
      <x:c r="L103" s="4">
        <x:f t="shared" si="15"/>
        <x:v>0</x:v>
      </x:c>
      <x:c r="M103" s="5">
        <x:f t="shared" si="13"/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SUM(D89:D103)</x:f>
        <x:v>0</x:v>
      </x:c>
      <x:c r="E104" s="9">
        <x:f>SUM(E89:E103)</x:f>
        <x:v>0</x:v>
      </x:c>
      <x:c r="F104" s="10">
        <x:f>SUM(F89:F103)</x:f>
        <x:v>0</x:v>
      </x:c>
      <x:c r="G104" s="11"/>
      <x:c r="H104" s="7"/>
      <x:c r="I104" s="8"/>
      <x:c r="J104" s="8"/>
      <x:c r="K104" s="9">
        <x:f>SUM(K89:K103)</x:f>
        <x:v>0</x:v>
      </x:c>
      <x:c r="L104" s="9">
        <x:f>SUM(L89:L103)</x:f>
        <x:v>0</x:v>
      </x:c>
      <x:c r="M104" s="10">
        <x:f>SUM(M89:M103)</x:f>
        <x:v>0</x:v>
      </x:c>
      <x:c r="N104" s="11"/>
    </x:row>
    <x:row r="105" spans="1:14" ht="20.100000000000001" customHeight="1">
      <x:c r="A105" s="301" t="s">
        <x:v>153</x:v>
      </x:c>
      <x:c r="B105" s="3" t="s">
        <x:v>850</x:v>
      </x:c>
      <x:c r="C105" s="3" t="s">
        <x:v>63</x:v>
      </x:c>
      <x:c r="D105" s="44">
        <x:v>700000</x:v>
      </x:c>
      <x:c r="E105" s="44">
        <x:f>+D105*0.1</x:f>
        <x:v>70000</x:v>
      </x:c>
      <x:c r="F105" s="45">
        <x:f>+D105+E105</x:f>
        <x:v>770000</x:v>
      </x:c>
      <x:c r="G105" s="37"/>
      <x:c r="H105" s="301" t="s">
        <x:v>153</x:v>
      </x:c>
      <x:c r="I105" s="3"/>
      <x:c r="J105" s="3"/>
      <x:c r="K105" s="4"/>
      <x:c r="L105" s="4"/>
      <x:c r="M105" s="5">
        <x:f>+K105+L105</x:f>
        <x:v>0</x:v>
      </x:c>
      <x:c r="N105" s="6"/>
    </x:row>
    <x:row r="106" spans="1:14" ht="20.100000000000001" customHeight="1">
      <x:c r="A106" s="299"/>
      <x:c r="B106" s="3"/>
      <x:c r="C106" s="3"/>
      <x:c r="D106" s="44"/>
      <x:c r="E106" s="44">
        <x:f>+D106*0.1</x:f>
        <x:v>0</x:v>
      </x:c>
      <x:c r="F106" s="45">
        <x:f>+D106+E106</x:f>
        <x:v>0</x:v>
      </x:c>
      <x:c r="G106" s="37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700000</x:v>
      </x:c>
      <x:c r="E109" s="9">
        <x:f>SUM(E105:E108)</x:f>
        <x:v>70000</x:v>
      </x:c>
      <x:c r="F109" s="10">
        <x:f>SUM(F105:F108)</x:f>
        <x:v>770000</x:v>
      </x:c>
      <x:c r="G109" s="11"/>
      <x:c r="H109" s="7"/>
      <x:c r="I109" s="8"/>
      <x:c r="J109" s="8"/>
      <x:c r="K109" s="9">
        <x:f>SUM(K105:K108)</x:f>
        <x:v>0</x:v>
      </x:c>
      <x:c r="L109" s="9">
        <x:f>SUM(L105:L108)</x:f>
        <x:v>0</x:v>
      </x:c>
      <x:c r="M109" s="10">
        <x:f>SUM(M105:M108)</x:f>
        <x:v>0</x:v>
      </x:c>
      <x:c r="N109" s="11"/>
    </x:row>
    <x:row r="110" spans="1:14" ht="20.100000000000001" customHeight="1">
      <x:c r="A110" s="301" t="s">
        <x:v>187</x:v>
      </x:c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1" t="s">
        <x:v>187</x:v>
      </x:c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300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300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7" t="s">
        <x:v>155</x:v>
      </x:c>
      <x:c r="B114" s="8"/>
      <x:c r="C114" s="8"/>
      <x:c r="D114" s="9">
        <x:f>SUM(D110:D113)</x:f>
        <x:v>0</x:v>
      </x:c>
      <x:c r="E114" s="9">
        <x:f>SUM(E110:E113)</x:f>
        <x:v>0</x:v>
      </x:c>
      <x:c r="F114" s="10">
        <x:f>SUM(F110:F113)</x:f>
        <x:v>0</x:v>
      </x:c>
      <x:c r="G114" s="11"/>
      <x:c r="H114" s="7"/>
      <x:c r="I114" s="8"/>
      <x:c r="J114" s="8"/>
      <x:c r="K114" s="9">
        <x:f>SUM(K110:K113)</x:f>
        <x:v>0</x:v>
      </x:c>
      <x:c r="L114" s="9">
        <x:f>SUM(L110:L113)</x:f>
        <x:v>0</x:v>
      </x:c>
      <x:c r="M114" s="10">
        <x:f>SUM(M110:M113)</x:f>
        <x:v>0</x:v>
      </x:c>
      <x:c r="N114" s="11"/>
    </x:row>
    <x:row r="115" spans="1:14" ht="20.100000000000001" customHeight="1">
      <x:c r="A115" s="301" t="s">
        <x:v>149</x:v>
      </x:c>
      <x:c r="B115" s="3"/>
      <x:c r="C115" s="3"/>
      <x:c r="D115" s="4"/>
      <x:c r="E115" s="4"/>
      <x:c r="F115" s="5">
        <x:f>+D115+E115</x:f>
        <x:v>0</x:v>
      </x:c>
      <x:c r="G115" s="6"/>
      <x:c r="H115" s="301" t="s">
        <x:v>149</x:v>
      </x:c>
      <x:c r="I115" s="3"/>
      <x:c r="J115" s="3"/>
      <x:c r="K115" s="4"/>
      <x:c r="L115" s="4">
        <x:f>+K115*0.1</x:f>
        <x:v>0</x:v>
      </x:c>
      <x:c r="M115" s="5">
        <x:f t="shared" ref="M115:M122" si="17">+K115+L115</x:f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>+D116+E116</x:f>
        <x:v>0</x:v>
      </x:c>
      <x:c r="G116" s="6"/>
      <x:c r="H116" s="299"/>
      <x:c r="I116" s="3"/>
      <x:c r="J116" s="3"/>
      <x:c r="K116" s="4"/>
      <x:c r="L116" s="4">
        <x:f t="shared" ref="L116:L122" si="18">+K116*0.1</x:f>
        <x:v>0</x:v>
      </x:c>
      <x:c r="M116" s="5">
        <x:f t="shared" si="17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>+D117+E117</x:f>
        <x:v>0</x:v>
      </x:c>
      <x:c r="G117" s="6"/>
      <x:c r="H117" s="299"/>
      <x:c r="I117" s="3"/>
      <x:c r="J117" s="3"/>
      <x:c r="K117" s="4"/>
      <x:c r="L117" s="4">
        <x:f t="shared" si="18"/>
        <x:v>0</x:v>
      </x:c>
      <x:c r="M117" s="5">
        <x:f t="shared" si="17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ref="F118:F124" si="19">+D118+E118</x:f>
        <x:v>0</x:v>
      </x:c>
      <x:c r="G118" s="6"/>
      <x:c r="H118" s="299"/>
      <x:c r="I118" s="3"/>
      <x:c r="J118" s="3"/>
      <x:c r="K118" s="4"/>
      <x:c r="L118" s="4">
        <x:f t="shared" si="18"/>
        <x:v>0</x:v>
      </x:c>
      <x:c r="M118" s="5">
        <x:f t="shared" si="17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9"/>
        <x:v>0</x:v>
      </x:c>
      <x:c r="G119" s="6"/>
      <x:c r="H119" s="299"/>
      <x:c r="I119" s="3"/>
      <x:c r="J119" s="3"/>
      <x:c r="K119" s="4"/>
      <x:c r="L119" s="4">
        <x:f t="shared" si="18"/>
        <x:v>0</x:v>
      </x:c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9"/>
        <x:v>0</x:v>
      </x:c>
      <x:c r="G120" s="6"/>
      <x:c r="H120" s="299"/>
      <x:c r="I120" s="3"/>
      <x:c r="J120" s="3"/>
      <x:c r="K120" s="4"/>
      <x:c r="L120" s="4">
        <x:f t="shared" si="18"/>
        <x:v>0</x:v>
      </x:c>
      <x:c r="M120" s="5">
        <x:f t="shared" si="17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>
        <x:f t="shared" si="19"/>
        <x:v>0</x:v>
      </x:c>
      <x:c r="G121" s="6"/>
      <x:c r="H121" s="299"/>
      <x:c r="I121" s="3"/>
      <x:c r="J121" s="3"/>
      <x:c r="K121" s="4"/>
      <x:c r="L121" s="4">
        <x:f t="shared" si="18"/>
        <x:v>0</x:v>
      </x:c>
      <x:c r="M121" s="5">
        <x:f t="shared" si="17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>
        <x:f t="shared" si="19"/>
        <x:v>0</x:v>
      </x:c>
      <x:c r="G122" s="6"/>
      <x:c r="H122" s="299"/>
      <x:c r="I122" s="3"/>
      <x:c r="J122" s="3"/>
      <x:c r="K122" s="4"/>
      <x:c r="L122" s="4">
        <x:f t="shared" si="18"/>
        <x:v>0</x:v>
      </x:c>
      <x:c r="M122" s="5">
        <x:f t="shared" si="17"/>
        <x:v>0</x:v>
      </x:c>
      <x:c r="N122" s="6"/>
    </x:row>
    <x:row r="123" spans="1:14" ht="20.100000000000001" customHeight="1">
      <x:c r="A123" s="299"/>
      <x:c r="B123" s="3"/>
      <x:c r="C123" s="3"/>
      <x:c r="D123" s="4"/>
      <x:c r="E123" s="4"/>
      <x:c r="F123" s="5">
        <x:f t="shared" si="19"/>
        <x:v>0</x:v>
      </x:c>
      <x:c r="G123" s="6"/>
      <x:c r="H123" s="299"/>
      <x:c r="I123" s="3"/>
      <x:c r="J123" s="3"/>
      <x:c r="K123" s="4"/>
      <x:c r="L123" s="4"/>
      <x:c r="M123" s="5"/>
      <x:c r="N123" s="6"/>
    </x:row>
    <x:row r="124" spans="1:14" ht="20.100000000000001" customHeight="1">
      <x:c r="A124" s="300"/>
      <x:c r="B124" s="3"/>
      <x:c r="C124" s="3"/>
      <x:c r="D124" s="4"/>
      <x:c r="E124" s="4"/>
      <x:c r="F124" s="5">
        <x:f t="shared" si="19"/>
        <x:v>0</x:v>
      </x:c>
      <x:c r="G124" s="6"/>
      <x:c r="H124" s="300"/>
      <x:c r="I124" s="3"/>
      <x:c r="J124" s="3"/>
      <x:c r="K124" s="4"/>
      <x:c r="L124" s="4">
        <x:f>+K124*0.1</x:f>
        <x:v>0</x:v>
      </x:c>
      <x:c r="M124" s="5">
        <x:f>+K124+L124</x:f>
        <x:v>0</x:v>
      </x:c>
      <x:c r="N124" s="6"/>
    </x:row>
    <x:row r="125" spans="1:14" ht="20.100000000000001" customHeight="1">
      <x:c r="A125" s="7" t="s">
        <x:v>155</x:v>
      </x:c>
      <x:c r="B125" s="8"/>
      <x:c r="C125" s="8"/>
      <x:c r="D125" s="9">
        <x:f>SUM(D115:D124)</x:f>
        <x:v>0</x:v>
      </x:c>
      <x:c r="E125" s="9">
        <x:f>SUM(E115:E124)</x:f>
        <x:v>0</x:v>
      </x:c>
      <x:c r="F125" s="10">
        <x:f>SUM(F115:F124)</x:f>
        <x:v>0</x:v>
      </x:c>
      <x:c r="G125" s="11"/>
      <x:c r="H125" s="7"/>
      <x:c r="I125" s="8"/>
      <x:c r="J125" s="8"/>
      <x:c r="K125" s="9">
        <x:f>SUM(K115:K124)</x:f>
        <x:v>0</x:v>
      </x:c>
      <x:c r="L125" s="9">
        <x:f>SUM(L115:L124)</x:f>
        <x:v>0</x:v>
      </x:c>
      <x:c r="M125" s="10">
        <x:f>SUM(M115:M124)</x:f>
        <x:v>0</x:v>
      </x:c>
      <x:c r="N125" s="11"/>
    </x:row>
    <x:row r="126" spans="1:14" ht="20.100000000000001" customHeight="1">
      <x:c r="A126" s="12" t="s">
        <x:v>1690</x:v>
      </x:c>
      <x:c r="B126" s="13"/>
      <x:c r="C126" s="13"/>
      <x:c r="D126" s="14">
        <x:f>+D104+D109+D114+D125</x:f>
        <x:v>700000</x:v>
      </x:c>
      <x:c r="E126" s="14">
        <x:f>+E104+E109+E114+E125</x:f>
        <x:v>70000</x:v>
      </x:c>
      <x:c r="F126" s="15">
        <x:f>+F104+F109+F114+F125</x:f>
        <x:v>770000</x:v>
      </x:c>
      <x:c r="G126" s="16"/>
      <x:c r="H126" s="12"/>
      <x:c r="I126" s="13"/>
      <x:c r="J126" s="13"/>
      <x:c r="K126" s="14">
        <x:f>+K104+K109+K114+K125</x:f>
        <x:v>0</x:v>
      </x:c>
      <x:c r="L126" s="14">
        <x:f>+L104+L109+L114+L125</x:f>
        <x:v>0</x:v>
      </x:c>
      <x:c r="M126" s="15">
        <x:f>+M104+M109+M114+M125</x:f>
        <x:v>0</x:v>
      </x:c>
      <x:c r="N126" s="16"/>
    </x:row>
    <x:row r="127" spans="1:14" ht="20.100000000000001" customHeight="1">
      <x:c r="A127" s="23" t="s">
        <x:v>35</x:v>
      </x:c>
      <x:c r="B127" s="24"/>
      <x:c r="C127" s="24"/>
      <x:c r="D127" s="25">
        <x:f>+D88-D126</x:f>
        <x:v>-700000</x:v>
      </x:c>
      <x:c r="E127" s="25">
        <x:f>+E88-E126</x:f>
        <x:v>-70000</x:v>
      </x:c>
      <x:c r="F127" s="26">
        <x:f>+F88-F126</x:f>
        <x:v>-770000</x:v>
      </x:c>
      <x:c r="G127" s="27"/>
      <x:c r="H127" s="23"/>
      <x:c r="I127" s="24"/>
      <x:c r="J127" s="24"/>
      <x:c r="K127" s="25">
        <x:f>+K88-K126</x:f>
        <x:v>0</x:v>
      </x:c>
      <x:c r="L127" s="25">
        <x:f>+L88-L126</x:f>
        <x:v>0</x:v>
      </x:c>
      <x:c r="M127" s="26">
        <x:f>+M88-M126</x:f>
        <x:v>0</x:v>
      </x:c>
      <x:c r="N127" s="27"/>
    </x:row>
  </x:sheetData>
  <x:mergeCells count="31">
    <x:mergeCell ref="A105:A108"/>
    <x:mergeCell ref="H105:H108"/>
    <x:mergeCell ref="A110:A113"/>
    <x:mergeCell ref="H110:H113"/>
    <x:mergeCell ref="A115:A124"/>
    <x:mergeCell ref="H115:H124"/>
    <x:mergeCell ref="A73:A82"/>
    <x:mergeCell ref="H73:H82"/>
    <x:mergeCell ref="A86:G86"/>
    <x:mergeCell ref="H86:N86"/>
    <x:mergeCell ref="A89:A103"/>
    <x:mergeCell ref="H89:H103"/>
    <x:mergeCell ref="A47:A61"/>
    <x:mergeCell ref="H47:H61"/>
    <x:mergeCell ref="A63:A66"/>
    <x:mergeCell ref="H63:H66"/>
    <x:mergeCell ref="A68:A71"/>
    <x:mergeCell ref="H68:H71"/>
    <x:mergeCell ref="A26:A29"/>
    <x:mergeCell ref="H26:H29"/>
    <x:mergeCell ref="A31:A40"/>
    <x:mergeCell ref="H31:H40"/>
    <x:mergeCell ref="A44:G44"/>
    <x:mergeCell ref="H44:N44"/>
    <x:mergeCell ref="A21:A24"/>
    <x:mergeCell ref="H21:H24"/>
    <x:mergeCell ref="A1:N1"/>
    <x:mergeCell ref="A2:G2"/>
    <x:mergeCell ref="H2:N2"/>
    <x:mergeCell ref="A5:A19"/>
    <x:mergeCell ref="H5:H19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3" min="0" max="1048575" man="1" pt="0"/>
  </x:rowBreaks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127"/>
  <x:sheetViews>
    <x:sheetView view="pageBreakPreview" topLeftCell="A1" zoomScaleNormal="100" zoomScaleSheetLayoutView="100" workbookViewId="0">
      <x:selection activeCell="I26" activeCellId="0" sqref="I26:M2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48" t="s">
        <x:v>151</x:v>
      </x:c>
      <x:c r="B4" s="38" t="s">
        <x:v>1679</x:v>
      </x:c>
      <x:c r="C4" s="38" t="s">
        <x:v>156</x:v>
      </x:c>
      <x:c r="D4" s="39"/>
      <x:c r="E4" s="39">
        <x:f>+D4*0.1</x:f>
        <x:v>0</x:v>
      </x:c>
      <x:c r="F4" s="40">
        <x:f>+D4+E4</x:f>
        <x:v>0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72560000</x:v>
      </x:c>
      <x:c r="L4" s="39">
        <x:v>3440000</x:v>
      </x:c>
      <x:c r="M4" s="40">
        <x:f>+K4+L4</x:f>
        <x:v>76000000</x:v>
      </x:c>
      <x:c r="N4" s="42"/>
    </x:row>
    <x:row r="5" spans="1:14" ht="20.100000000000001" customHeight="1">
      <x:c r="A5" s="298" t="s">
        <x:v>148</x:v>
      </x:c>
      <x:c r="B5" s="19" t="s">
        <x:v>13</x:v>
      </x:c>
      <x:c r="C5" s="19" t="s">
        <x:v>881</x:v>
      </x:c>
      <x:c r="D5" s="20">
        <x:v>89000</x:v>
      </x:c>
      <x:c r="E5" s="20">
        <x:f>+INT(D5*0.1)</x:f>
        <x:v>8900</x:v>
      </x:c>
      <x:c r="F5" s="21">
        <x:f>+D5+E5</x:f>
        <x:v>97900</x:v>
      </x:c>
      <x:c r="G5" s="22"/>
      <x:c r="H5" s="298" t="s">
        <x:v>148</x:v>
      </x:c>
      <x:c r="I5" s="19" t="s">
        <x:v>838</x:v>
      </x:c>
      <x:c r="J5" s="19" t="s">
        <x:v>62</x:v>
      </x:c>
      <x:c r="K5" s="20">
        <x:v>2069900</x:v>
      </x:c>
      <x:c r="L5" s="20">
        <x:f>+K5*0.1</x:f>
        <x:v>206990</x:v>
      </x:c>
      <x:c r="M5" s="21">
        <x:f t="shared" ref="M5:M24" si="0">+K5+L5</x:f>
        <x:v>2276890</x:v>
      </x:c>
      <x:c r="N5" s="22"/>
    </x:row>
    <x:row r="6" spans="1:14" ht="20.100000000000001" customHeight="1">
      <x:c r="A6" s="299"/>
      <x:c r="B6" s="3" t="s">
        <x:v>854</x:v>
      </x:c>
      <x:c r="C6" s="3" t="s">
        <x:v>89</x:v>
      </x:c>
      <x:c r="D6" s="4">
        <x:v>233700</x:v>
      </x:c>
      <x:c r="E6" s="4">
        <x:f t="shared" ref="E6:E18" si="1">+INT(D6*0.1)</x:f>
        <x:v>23370</x:v>
      </x:c>
      <x:c r="F6" s="5">
        <x:f>+D6+E6</x:f>
        <x:v>257070</x:v>
      </x:c>
      <x:c r="G6" s="6"/>
      <x:c r="H6" s="299"/>
      <x:c r="I6" s="3" t="s">
        <x:v>34</x:v>
      </x:c>
      <x:c r="J6" s="3" t="s">
        <x:v>885</x:v>
      </x:c>
      <x:c r="K6" s="4">
        <x:v>60000</x:v>
      </x:c>
      <x:c r="L6" s="4">
        <x:f>+K6*0.1</x:f>
        <x:v>6000</x:v>
      </x:c>
      <x:c r="M6" s="5">
        <x:f t="shared" si="0"/>
        <x:v>66000</x:v>
      </x:c>
      <x:c r="N6" s="6"/>
    </x:row>
    <x:row r="7" spans="1:14" ht="20.100000000000001" customHeight="1">
      <x:c r="A7" s="299"/>
      <x:c r="B7" s="3" t="s">
        <x:v>846</x:v>
      </x:c>
      <x:c r="C7" s="3" t="s">
        <x:v>326</x:v>
      </x:c>
      <x:c r="D7" s="4">
        <x:v>126250</x:v>
      </x:c>
      <x:c r="E7" s="4">
        <x:f t="shared" si="1"/>
        <x:v>12625</x:v>
      </x:c>
      <x:c r="F7" s="5">
        <x:f>+D7+E7</x:f>
        <x:v>138875</x:v>
      </x:c>
      <x:c r="G7" s="6"/>
      <x:c r="H7" s="299"/>
      <x:c r="I7" s="3" t="s">
        <x:v>864</x:v>
      </x:c>
      <x:c r="J7" s="3" t="s">
        <x:v>69</x:v>
      </x:c>
      <x:c r="K7" s="4">
        <x:v>206000</x:v>
      </x:c>
      <x:c r="L7" s="4">
        <x:f t="shared" ref="L7:L24" si="2">+K7*0.1</x:f>
        <x:v>20600</x:v>
      </x:c>
      <x:c r="M7" s="5">
        <x:f t="shared" si="0"/>
        <x:v>226600</x:v>
      </x:c>
      <x:c r="N7" s="6"/>
    </x:row>
    <x:row r="8" spans="1:14" ht="20.100000000000001" customHeight="1">
      <x:c r="A8" s="299"/>
      <x:c r="B8" s="3"/>
      <x:c r="C8" s="3"/>
      <x:c r="D8" s="4"/>
      <x:c r="E8" s="4">
        <x:f t="shared" si="1"/>
        <x:v>0</x:v>
      </x:c>
      <x:c r="F8" s="5">
        <x:f t="shared" ref="F8:F18" si="3">+D8+E8</x:f>
        <x:v>0</x:v>
      </x:c>
      <x:c r="G8" s="6"/>
      <x:c r="H8" s="299"/>
      <x:c r="I8" s="3" t="s">
        <x:v>840</x:v>
      </x:c>
      <x:c r="J8" s="3" t="s">
        <x:v>75</x:v>
      </x:c>
      <x:c r="K8" s="4">
        <x:v>242600</x:v>
      </x:c>
      <x:c r="L8" s="4">
        <x:f t="shared" si="2"/>
        <x:v>24260</x:v>
      </x:c>
      <x:c r="M8" s="5">
        <x:f t="shared" si="0"/>
        <x:v>266860</x:v>
      </x:c>
      <x:c r="N8" s="6"/>
    </x:row>
    <x:row r="9" spans="1:14" ht="20.100000000000001" customHeight="1">
      <x:c r="A9" s="299"/>
      <x:c r="B9" s="3"/>
      <x:c r="C9" s="3"/>
      <x:c r="D9" s="4"/>
      <x:c r="E9" s="4">
        <x:f t="shared" si="1"/>
        <x:v>0</x:v>
      </x:c>
      <x:c r="F9" s="5">
        <x:f t="shared" si="3"/>
        <x:v>0</x:v>
      </x:c>
      <x:c r="G9" s="6"/>
      <x:c r="H9" s="299"/>
      <x:c r="I9" s="3" t="s">
        <x:v>895</x:v>
      </x:c>
      <x:c r="J9" s="3" t="s">
        <x:v>876</x:v>
      </x:c>
      <x:c r="K9" s="4">
        <x:v>27882800</x:v>
      </x:c>
      <x:c r="L9" s="4">
        <x:f t="shared" si="2"/>
        <x:v>2788280</x:v>
      </x:c>
      <x:c r="M9" s="5">
        <x:f t="shared" si="0"/>
        <x:v>30671080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846</x:v>
      </x:c>
      <x:c r="J10" s="3" t="s">
        <x:v>11</x:v>
      </x:c>
      <x:c r="K10" s="4">
        <x:v>1206000</x:v>
      </x:c>
      <x:c r="L10" s="4">
        <x:f t="shared" si="2"/>
        <x:v>120600</x:v>
      </x:c>
      <x:c r="M10" s="5">
        <x:f t="shared" si="0"/>
        <x:v>1326600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1"/>
        <x:v>0</x:v>
      </x:c>
      <x:c r="F12" s="5">
        <x:f t="shared" si="3"/>
        <x:v>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1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1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2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1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1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2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1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2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2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448950</x:v>
      </x:c>
      <x:c r="E20" s="9">
        <x:f>SUM(E5:E19)</x:f>
        <x:v>44895</x:v>
      </x:c>
      <x:c r="F20" s="10">
        <x:f>SUM(F5:F19)</x:f>
        <x:v>493845</x:v>
      </x:c>
      <x:c r="G20" s="11"/>
      <x:c r="H20" s="7"/>
      <x:c r="I20" s="8"/>
      <x:c r="J20" s="8"/>
      <x:c r="K20" s="9">
        <x:f>SUM(K5:K19)</x:f>
        <x:v>31667300</x:v>
      </x:c>
      <x:c r="L20" s="9">
        <x:f>SUM(L5:L19)</x:f>
        <x:v>3166730</x:v>
      </x:c>
      <x:c r="M20" s="10">
        <x:f>SUM(M5:M19)</x:f>
        <x:v>34834030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/>
      <x:c r="E21" s="44"/>
      <x:c r="F21" s="45">
        <x:f>+D21+E21</x:f>
        <x:v>0</x:v>
      </x:c>
      <x:c r="G21" s="37"/>
      <x:c r="H21" s="301" t="s">
        <x:v>153</x:v>
      </x:c>
      <x:c r="I21" s="3" t="s">
        <x:v>1677</x:v>
      </x:c>
      <x:c r="J21" s="3"/>
      <x:c r="K21" s="4">
        <x:v>40280000</x:v>
      </x:c>
      <x:c r="L21" s="4"/>
      <x:c r="M21" s="5">
        <x:f t="shared" si="0"/>
        <x:v>40280000</x:v>
      </x:c>
      <x:c r="N21" s="6"/>
    </x:row>
    <x:row r="22" spans="1:14" ht="20.100000000000001" customHeight="1">
      <x:c r="A22" s="299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37"/>
      <x:c r="H22" s="299"/>
      <x:c r="I22" s="3" t="s">
        <x:v>40</x:v>
      </x:c>
      <x:c r="J22" s="3"/>
      <x:c r="K22" s="4">
        <x:v>4320000</x:v>
      </x:c>
      <x:c r="L22" s="4"/>
      <x:c r="M22" s="5">
        <x:f t="shared" si="0"/>
        <x:v>4320000</x:v>
      </x:c>
      <x:c r="N22" s="6" t="s">
        <x:v>878</x:v>
      </x:c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/>
      <x:c r="J23" s="3"/>
      <x:c r="K23" s="4"/>
      <x:c r="L23" s="4">
        <x:f t="shared" si="2"/>
        <x:v>0</x:v>
      </x:c>
      <x:c r="M23" s="5">
        <x:f t="shared" si="0"/>
        <x:v>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 t="shared" si="2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0</x:v>
      </x:c>
      <x:c r="E25" s="9">
        <x:f>SUM(E21:E24)</x:f>
        <x:v>0</x:v>
      </x:c>
      <x:c r="F25" s="10">
        <x:f>SUM(F21:F24)</x:f>
        <x:v>0</x:v>
      </x:c>
      <x:c r="G25" s="11"/>
      <x:c r="H25" s="7"/>
      <x:c r="I25" s="8"/>
      <x:c r="J25" s="8"/>
      <x:c r="K25" s="9">
        <x:f>SUM(K21:K24)</x:f>
        <x:v>44600000</x:v>
      </x:c>
      <x:c r="L25" s="9">
        <x:f>SUM(L21:L24)</x:f>
        <x:v>0</x:v>
      </x:c>
      <x:c r="M25" s="10">
        <x:f>SUM(M21:M24)</x:f>
        <x:v>44600000</x:v>
      </x:c>
      <x:c r="N25" s="11"/>
    </x:row>
    <x:row r="26" spans="1:14" ht="20.100000000000001" customHeight="1">
      <x:c r="A26" s="301" t="s">
        <x:v>187</x:v>
      </x:c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1" t="s">
        <x:v>187</x:v>
      </x:c>
      <x:c r="I26" s="3" t="s">
        <x:v>1693</x:v>
      </x:c>
      <x:c r="J26" s="3" t="s">
        <x:v>1687</x:v>
      </x:c>
      <x:c r="K26" s="4">
        <x:v>50000</x:v>
      </x:c>
      <x:c r="L26" s="4">
        <x:f>+K26*0.1</x:f>
        <x:v>5000</x:v>
      </x:c>
      <x:c r="M26" s="5">
        <x:f>+K26+L26</x:f>
        <x:v>55000</x:v>
      </x:c>
      <x:c r="N26" s="6"/>
    </x:row>
    <x:row r="27" spans="1:14" ht="20.100000000000001" customHeight="1">
      <x:c r="A27" s="299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299"/>
      <x:c r="I27" s="3" t="s">
        <x:v>857</x:v>
      </x:c>
      <x:c r="J27" s="3" t="s">
        <x:v>858</x:v>
      </x:c>
      <x:c r="K27" s="4">
        <x:v>300000</x:v>
      </x:c>
      <x:c r="L27" s="4">
        <x:f>+K27*0.1</x:f>
        <x:v>30000</x:v>
      </x:c>
      <x:c r="M27" s="5">
        <x:f>+K27+L27</x:f>
        <x:v>330000</x:v>
      </x:c>
      <x:c r="N27" s="6"/>
    </x:row>
    <x:row r="28" spans="1:14" ht="20.100000000000001" customHeight="1">
      <x:c r="A28" s="299"/>
      <x:c r="B28" s="3"/>
      <x:c r="C28" s="3"/>
      <x:c r="D28" s="4"/>
      <x:c r="E28" s="4">
        <x:f>+D28*0.1</x:f>
        <x:v>0</x:v>
      </x:c>
      <x:c r="F28" s="5">
        <x:f>+D28+E28</x:f>
        <x:v>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0</x:v>
      </x:c>
      <x:c r="E30" s="9">
        <x:f>SUM(E26:E29)</x:f>
        <x:v>0</x:v>
      </x:c>
      <x:c r="F30" s="10">
        <x:f>SUM(F26:F29)</x:f>
        <x:v>0</x:v>
      </x:c>
      <x:c r="G30" s="11"/>
      <x:c r="H30" s="7"/>
      <x:c r="I30" s="8"/>
      <x:c r="J30" s="8"/>
      <x:c r="K30" s="9">
        <x:f>SUM(K26:K29)</x:f>
        <x:v>350000</x:v>
      </x:c>
      <x:c r="L30" s="9">
        <x:f>SUM(L26:L29)</x:f>
        <x:v>35000</x:v>
      </x:c>
      <x:c r="M30" s="10">
        <x:f>SUM(M26:M29)</x:f>
        <x:v>385000</x:v>
      </x:c>
      <x:c r="N30" s="11"/>
    </x:row>
    <x:row r="31" spans="1:14" ht="20.100000000000001" customHeight="1">
      <x:c r="A31" s="301" t="s">
        <x:v>149</x:v>
      </x:c>
      <x:c r="B31" s="3" t="s">
        <x:v>814</x:v>
      </x:c>
      <x:c r="C31" s="3" t="s">
        <x:v>164</x:v>
      </x:c>
      <x:c r="D31" s="4"/>
      <x:c r="E31" s="4">
        <x:f>+D31*0.1</x:f>
        <x:v>0</x:v>
      </x:c>
      <x:c r="F31" s="5">
        <x:f>+D31+E31</x:f>
        <x:v>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1507500</x:v>
      </x:c>
      <x:c r="L31" s="4">
        <x:f>+K31*0.1</x:f>
        <x:v>150750</x:v>
      </x:c>
      <x:c r="M31" s="5">
        <x:f t="shared" ref="M31:M40" si="4">+K31+L31</x:f>
        <x:v>1658250</x:v>
      </x:c>
      <x:c r="N31" s="6"/>
    </x:row>
    <x:row r="32" spans="1:14" ht="20.100000000000001" customHeight="1">
      <x:c r="A32" s="299"/>
      <x:c r="B32" s="3" t="s">
        <x:v>188</x:v>
      </x:c>
      <x:c r="C32" s="3" t="s">
        <x:v>164</x:v>
      </x:c>
      <x:c r="D32" s="4"/>
      <x:c r="E32" s="4">
        <x:f>+D32*0.1</x:f>
        <x:v>0</x:v>
      </x:c>
      <x:c r="F32" s="5">
        <x:f>+D32+E32</x:f>
        <x:v>0</x:v>
      </x:c>
      <x:c r="G32" s="6"/>
      <x:c r="H32" s="299"/>
      <x:c r="I32" s="3" t="s">
        <x:v>845</x:v>
      </x:c>
      <x:c r="J32" s="3" t="s">
        <x:v>825</x:v>
      </x:c>
      <x:c r="K32" s="4">
        <x:v>535210</x:v>
      </x:c>
      <x:c r="L32" s="4"/>
      <x:c r="M32" s="5">
        <x:f t="shared" si="4"/>
        <x:v>535210</x:v>
      </x:c>
      <x:c r="N32" s="6"/>
    </x:row>
    <x:row r="33" spans="1:14" ht="20.100000000000001" customHeight="1">
      <x:c r="A33" s="299"/>
      <x:c r="B33" s="3" t="s">
        <x:v>1680</x:v>
      </x:c>
      <x:c r="C33" s="3" t="s">
        <x:v>1695</x:v>
      </x:c>
      <x:c r="D33" s="4">
        <x:v>80000</x:v>
      </x:c>
      <x:c r="E33" s="4">
        <x:f>+D33*0.1</x:f>
        <x:v>8000</x:v>
      </x:c>
      <x:c r="F33" s="5">
        <x:f>+D33+E33</x:f>
        <x:v>88000</x:v>
      </x:c>
      <x:c r="G33" s="6"/>
      <x:c r="H33" s="299"/>
      <x:c r="I33" s="3" t="s">
        <x:v>1680</x:v>
      </x:c>
      <x:c r="J33" s="3" t="s">
        <x:v>1695</x:v>
      </x:c>
      <x:c r="K33" s="4">
        <x:v>130000</x:v>
      </x:c>
      <x:c r="L33" s="4">
        <x:f>+K33*0.1</x:f>
        <x:v>13000</x:v>
      </x:c>
      <x:c r="M33" s="5">
        <x:f>+K33+L33</x:f>
        <x:v>143000</x:v>
      </x:c>
      <x:c r="N33" s="6"/>
    </x:row>
    <x:row r="34" spans="1:14" ht="20.100000000000001" customHeight="1">
      <x:c r="A34" s="299"/>
      <x:c r="B34" s="3" t="s">
        <x:v>1713</x:v>
      </x:c>
      <x:c r="C34" s="3" t="s">
        <x:v>905</x:v>
      </x:c>
      <x:c r="D34" s="4">
        <x:v>550000</x:v>
      </x:c>
      <x:c r="E34" s="4"/>
      <x:c r="F34" s="5">
        <x:f t="shared" ref="F34:F40" si="5">+D34+E34</x:f>
        <x:v>550000</x:v>
      </x:c>
      <x:c r="G34" s="6"/>
      <x:c r="H34" s="299"/>
      <x:c r="I34" s="3" t="s">
        <x:v>169</x:v>
      </x:c>
      <x:c r="J34" s="3" t="s">
        <x:v>149</x:v>
      </x:c>
      <x:c r="K34" s="4">
        <x:v>1251960</x:v>
      </x:c>
      <x:c r="L34" s="4">
        <x:v>7000</x:v>
      </x:c>
      <x:c r="M34" s="5"/>
      <x:c r="N34" s="6"/>
    </x:row>
    <x:row r="35" spans="1:14" ht="20.100000000000001" customHeight="1">
      <x:c r="A35" s="299"/>
      <x:c r="B35" s="3" t="s">
        <x:v>162</x:v>
      </x:c>
      <x:c r="C35" s="3" t="s">
        <x:v>837</x:v>
      </x:c>
      <x:c r="D35" s="4"/>
      <x:c r="E35" s="4"/>
      <x:c r="F35" s="5">
        <x:f t="shared" si="5"/>
        <x:v>0</x:v>
      </x:c>
      <x:c r="G35" s="6"/>
      <x:c r="H35" s="299"/>
      <x:c r="I35" s="3" t="s">
        <x:v>1713</x:v>
      </x:c>
      <x:c r="J35" s="3" t="s">
        <x:v>905</x:v>
      </x:c>
      <x:c r="K35" s="4">
        <x:v>500000</x:v>
      </x:c>
      <x:c r="L35" s="4"/>
      <x:c r="M35" s="5">
        <x:f t="shared" si="4"/>
        <x:v>500000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 t="s">
        <x:v>877</x:v>
      </x:c>
      <x:c r="J36" s="3" t="s">
        <x:v>173</x:v>
      </x:c>
      <x:c r="K36" s="4">
        <x:f>5000000-3000000</x:f>
        <x:v>2000000</x:v>
      </x:c>
      <x:c r="L36" s="4"/>
      <x:c r="M36" s="5">
        <x:f t="shared" si="4"/>
        <x:v>2000000</x:v>
      </x:c>
      <x:c r="N36" s="6"/>
    </x:row>
    <x:row r="37" spans="1:14" ht="20.100000000000001" customHeight="1">
      <x:c r="A37" s="299"/>
      <x:c r="B37" s="3"/>
      <x:c r="C37" s="3"/>
      <x:c r="D37" s="4"/>
      <x:c r="E37" s="4"/>
      <x:c r="F37" s="5">
        <x:f t="shared" si="5"/>
        <x:v>0</x:v>
      </x:c>
      <x:c r="G37" s="6"/>
      <x:c r="H37" s="299"/>
      <x:c r="I37" s="3" t="s">
        <x:v>887</x:v>
      </x:c>
      <x:c r="J37" s="3" t="s">
        <x:v>882</x:v>
      </x:c>
      <x:c r="K37" s="4">
        <x:v>220000</x:v>
      </x:c>
      <x:c r="L37" s="4">
        <x:f>+K37*0.1</x:f>
        <x:v>22000</x:v>
      </x:c>
      <x:c r="M37" s="5">
        <x:f t="shared" si="4"/>
        <x:v>242000</x:v>
      </x:c>
      <x:c r="N37" s="6"/>
    </x:row>
    <x:row r="38" spans="1:14" ht="20.100000000000001" customHeight="1">
      <x:c r="A38" s="299"/>
      <x:c r="B38" s="3"/>
      <x:c r="C38" s="3"/>
      <x:c r="D38" s="4"/>
      <x:c r="E38" s="4"/>
      <x:c r="F38" s="5">
        <x:f t="shared" si="5"/>
        <x:v>0</x:v>
      </x:c>
      <x:c r="G38" s="6"/>
      <x:c r="H38" s="299"/>
      <x:c r="I38" s="3" t="s">
        <x:v>828</x:v>
      </x:c>
      <x:c r="J38" s="3" t="s">
        <x:v>167</x:v>
      </x:c>
      <x:c r="K38" s="4"/>
      <x:c r="L38" s="4">
        <x:f>+K38*0.1</x:f>
        <x:v>0</x:v>
      </x:c>
      <x:c r="M38" s="5">
        <x:f>+K38+L38</x:f>
        <x:v>0</x:v>
      </x:c>
      <x:c r="N38" s="6"/>
    </x:row>
    <x:row r="39" spans="1:14" ht="20.100000000000001" customHeight="1">
      <x:c r="A39" s="299"/>
      <x:c r="B39" s="3"/>
      <x:c r="C39" s="3"/>
      <x:c r="D39" s="4"/>
      <x:c r="E39" s="4"/>
      <x:c r="F39" s="5">
        <x:f t="shared" si="5"/>
        <x:v>0</x:v>
      </x:c>
      <x:c r="G39" s="6"/>
      <x:c r="H39" s="299"/>
      <x:c r="I39" s="3" t="s">
        <x:v>874</x:v>
      </x:c>
      <x:c r="J39" s="3" t="s">
        <x:v>12</x:v>
      </x:c>
      <x:c r="K39" s="4">
        <x:v>390000</x:v>
      </x:c>
      <x:c r="L39" s="4">
        <x:f>+K39*0.1</x:f>
        <x:v>39000</x:v>
      </x:c>
      <x:c r="M39" s="5">
        <x:f>+K39+L39</x:f>
        <x:v>429000</x:v>
      </x:c>
      <x:c r="N39" s="6"/>
    </x:row>
    <x:row r="40" spans="1:14" ht="20.100000000000001" customHeight="1">
      <x:c r="A40" s="300"/>
      <x:c r="B40" s="3"/>
      <x:c r="C40" s="3"/>
      <x:c r="D40" s="4"/>
      <x:c r="E40" s="4"/>
      <x:c r="F40" s="5">
        <x:f t="shared" si="5"/>
        <x:v>0</x:v>
      </x:c>
      <x:c r="G40" s="6"/>
      <x:c r="H40" s="300"/>
      <x:c r="I40" s="3"/>
      <x:c r="J40" s="3"/>
      <x:c r="K40" s="4"/>
      <x:c r="L40" s="4">
        <x:f>+K40*0.1</x:f>
        <x:v>0</x:v>
      </x:c>
      <x:c r="M40" s="5">
        <x:f t="shared" si="4"/>
        <x:v>0</x:v>
      </x:c>
      <x:c r="N40" s="6"/>
    </x:row>
    <x:row r="41" spans="1:14" ht="20.100000000000001" customHeight="1">
      <x:c r="A41" s="7" t="s">
        <x:v>155</x:v>
      </x:c>
      <x:c r="B41" s="8"/>
      <x:c r="C41" s="8"/>
      <x:c r="D41" s="9">
        <x:f>SUM(D31:D40)</x:f>
        <x:v>630000</x:v>
      </x:c>
      <x:c r="E41" s="9">
        <x:f>SUM(E31:E40)</x:f>
        <x:v>8000</x:v>
      </x:c>
      <x:c r="F41" s="10">
        <x:f>SUM(F31:F40)</x:f>
        <x:v>638000</x:v>
      </x:c>
      <x:c r="G41" s="11"/>
      <x:c r="H41" s="7"/>
      <x:c r="I41" s="8"/>
      <x:c r="J41" s="8"/>
      <x:c r="K41" s="9">
        <x:f>SUM(K31:K40)</x:f>
        <x:v>6534670</x:v>
      </x:c>
      <x:c r="L41" s="9">
        <x:f>SUM(L31:L40)</x:f>
        <x:v>231750</x:v>
      </x:c>
      <x:c r="M41" s="10">
        <x:f>SUM(M31:M40)</x:f>
        <x:v>5507460</x:v>
      </x:c>
      <x:c r="N41" s="11"/>
    </x:row>
    <x:row r="42" spans="1:14" ht="20.100000000000001" customHeight="1">
      <x:c r="A42" s="12" t="s">
        <x:v>1690</x:v>
      </x:c>
      <x:c r="B42" s="13"/>
      <x:c r="C42" s="13"/>
      <x:c r="D42" s="14">
        <x:f>+D20+D25+D30+D41</x:f>
        <x:v>1078950</x:v>
      </x:c>
      <x:c r="E42" s="14">
        <x:f>+E20+E25+E30+E41</x:f>
        <x:v>52895</x:v>
      </x:c>
      <x:c r="F42" s="15">
        <x:f>+F20+F25+F30+F41</x:f>
        <x:v>1131845</x:v>
      </x:c>
      <x:c r="G42" s="16"/>
      <x:c r="H42" s="12"/>
      <x:c r="I42" s="13"/>
      <x:c r="J42" s="13"/>
      <x:c r="K42" s="14">
        <x:f>+K20+K25+K30+K41</x:f>
        <x:v>83151970</x:v>
      </x:c>
      <x:c r="L42" s="14">
        <x:f>+L20+L25+L30+L41</x:f>
        <x:v>3433480</x:v>
      </x:c>
      <x:c r="M42" s="15">
        <x:f>+M20+M25+M30+M41</x:f>
        <x:v>85326490</x:v>
      </x:c>
      <x:c r="N42" s="16"/>
    </x:row>
    <x:row r="43" spans="1:14" ht="20.100000000000001" customHeight="1">
      <x:c r="A43" s="23" t="s">
        <x:v>35</x:v>
      </x:c>
      <x:c r="B43" s="24"/>
      <x:c r="C43" s="24"/>
      <x:c r="D43" s="25">
        <x:f>+D4-D42</x:f>
        <x:v>-1078950</x:v>
      </x:c>
      <x:c r="E43" s="25">
        <x:f>+E4-E42</x:f>
        <x:v>-52895</x:v>
      </x:c>
      <x:c r="F43" s="26">
        <x:f>+F4-F42</x:f>
        <x:v>-1131845</x:v>
      </x:c>
      <x:c r="G43" s="27"/>
      <x:c r="H43" s="23"/>
      <x:c r="I43" s="24"/>
      <x:c r="J43" s="24"/>
      <x:c r="K43" s="25">
        <x:f>+K4-K42</x:f>
        <x:v>-10591970</x:v>
      </x:c>
      <x:c r="L43" s="25">
        <x:f>+L4-L42</x:f>
        <x:v>6520</x:v>
      </x:c>
      <x:c r="M43" s="26">
        <x:f>+M4-M42</x:f>
        <x:v>-9326490</x:v>
      </x:c>
      <x:c r="N43" s="27"/>
    </x:row>
    <x:row r="44" spans="1:14" ht="20.100000000000001" customHeight="1">
      <x:c r="A44" s="296" t="s">
        <x:v>871</x:v>
      </x:c>
      <x:c r="B44" s="297"/>
      <x:c r="C44" s="297"/>
      <x:c r="D44" s="297"/>
      <x:c r="E44" s="297"/>
      <x:c r="F44" s="297"/>
      <x:c r="G44" s="297"/>
      <x:c r="H44" s="302" t="s">
        <x:v>58</x:v>
      </x:c>
      <x:c r="I44" s="303"/>
      <x:c r="J44" s="303"/>
      <x:c r="K44" s="303"/>
      <x:c r="L44" s="303"/>
      <x:c r="M44" s="304"/>
      <x:c r="N44" s="305"/>
    </x:row>
    <x:row r="45" spans="1:14" ht="20.100000000000001" customHeight="1">
      <x:c r="A45" s="29" t="s">
        <x:v>147</x:v>
      </x:c>
      <x:c r="B45" s="30" t="s">
        <x:v>144</x:v>
      </x:c>
      <x:c r="C45" s="30" t="s">
        <x:v>150</x:v>
      </x:c>
      <x:c r="D45" s="31" t="s">
        <x:v>145</x:v>
      </x:c>
      <x:c r="E45" s="31" t="s">
        <x:v>152</x:v>
      </x:c>
      <x:c r="F45" s="32" t="s">
        <x:v>146</x:v>
      </x:c>
      <x:c r="G45" s="33" t="s">
        <x:v>154</x:v>
      </x:c>
      <x:c r="H45" s="29" t="s">
        <x:v>147</x:v>
      </x:c>
      <x:c r="I45" s="30" t="s">
        <x:v>144</x:v>
      </x:c>
      <x:c r="J45" s="30" t="s">
        <x:v>150</x:v>
      </x:c>
      <x:c r="K45" s="31" t="s">
        <x:v>145</x:v>
      </x:c>
      <x:c r="L45" s="31" t="s">
        <x:v>152</x:v>
      </x:c>
      <x:c r="M45" s="31" t="s">
        <x:v>146</x:v>
      </x:c>
      <x:c r="N45" s="34" t="s">
        <x:v>154</x:v>
      </x:c>
    </x:row>
    <x:row r="46" spans="1:14" ht="20.100000000000001" customHeight="1">
      <x:c r="A46" s="48" t="s">
        <x:v>151</x:v>
      </x:c>
      <x:c r="B46" s="38" t="s">
        <x:v>1679</x:v>
      </x:c>
      <x:c r="C46" s="38" t="s">
        <x:v>56</x:v>
      </x:c>
      <x:c r="D46" s="39"/>
      <x:c r="E46" s="39">
        <x:f>+D46*0.1</x:f>
        <x:v>0</x:v>
      </x:c>
      <x:c r="F46" s="40">
        <x:f>+D46+E46</x:f>
        <x:v>0</x:v>
      </x:c>
      <x:c r="G46" s="18"/>
      <x:c r="H46" s="41" t="s">
        <x:v>151</x:v>
      </x:c>
      <x:c r="I46" s="38" t="s">
        <x:v>1679</x:v>
      </x:c>
      <x:c r="J46" s="38" t="s">
        <x:v>1678</x:v>
      </x:c>
      <x:c r="K46" s="39">
        <x:v>17413000</x:v>
      </x:c>
      <x:c r="L46" s="39">
        <x:v>187000</x:v>
      </x:c>
      <x:c r="M46" s="40">
        <x:f>+K46+L46</x:f>
        <x:v>17600000</x:v>
      </x:c>
      <x:c r="N46" s="42"/>
    </x:row>
    <x:row r="47" spans="1:14" ht="20.100000000000001" customHeight="1">
      <x:c r="A47" s="298" t="s">
        <x:v>148</x:v>
      </x:c>
      <x:c r="B47" s="19"/>
      <x:c r="C47" s="19"/>
      <x:c r="D47" s="20"/>
      <x:c r="E47" s="20">
        <x:f>+INT(D47*0.1)</x:f>
        <x:v>0</x:v>
      </x:c>
      <x:c r="F47" s="21">
        <x:f>+D47+E47</x:f>
        <x:v>0</x:v>
      </x:c>
      <x:c r="G47" s="22"/>
      <x:c r="H47" s="298" t="s">
        <x:v>148</x:v>
      </x:c>
      <x:c r="I47" s="19" t="s">
        <x:v>838</x:v>
      </x:c>
      <x:c r="J47" s="19" t="s">
        <x:v>880</x:v>
      </x:c>
      <x:c r="K47" s="20">
        <x:v>1003515</x:v>
      </x:c>
      <x:c r="L47" s="20">
        <x:f>+K47*0.1</x:f>
        <x:v>100351.5</x:v>
      </x:c>
      <x:c r="M47" s="21">
        <x:f t="shared" ref="M47:M61" si="6">+K47+L47</x:f>
        <x:v>1103866.5</x:v>
      </x:c>
      <x:c r="N47" s="22"/>
    </x:row>
    <x:row r="48" spans="1:14" ht="20.100000000000001" customHeight="1">
      <x:c r="A48" s="299"/>
      <x:c r="B48" s="3"/>
      <x:c r="C48" s="3"/>
      <x:c r="D48" s="4"/>
      <x:c r="E48" s="4">
        <x:f t="shared" ref="E48:E60" si="7">+INT(D48*0.1)</x:f>
        <x:v>0</x:v>
      </x:c>
      <x:c r="F48" s="5">
        <x:f>+D48+E48</x:f>
        <x:v>0</x:v>
      </x:c>
      <x:c r="G48" s="6"/>
      <x:c r="H48" s="299"/>
      <x:c r="I48" s="3" t="s">
        <x:v>34</x:v>
      </x:c>
      <x:c r="J48" s="3" t="s">
        <x:v>64</x:v>
      </x:c>
      <x:c r="K48" s="4">
        <x:v>277970</x:v>
      </x:c>
      <x:c r="L48" s="4">
        <x:f>+K48*0.1</x:f>
        <x:v>27797</x:v>
      </x:c>
      <x:c r="M48" s="5">
        <x:f t="shared" si="6"/>
        <x:v>305767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7"/>
        <x:v>0</x:v>
      </x:c>
      <x:c r="F49" s="5">
        <x:f>+D49+E49</x:f>
        <x:v>0</x:v>
      </x:c>
      <x:c r="G49" s="6"/>
      <x:c r="H49" s="299"/>
      <x:c r="I49" s="3" t="s">
        <x:v>867</x:v>
      </x:c>
      <x:c r="J49" s="3" t="s">
        <x:v>55</x:v>
      </x:c>
      <x:c r="K49" s="4">
        <x:v>625700</x:v>
      </x:c>
      <x:c r="L49" s="4">
        <x:f t="shared" ref="L49:L61" si="8">+K49*0.1</x:f>
        <x:v>62570</x:v>
      </x:c>
      <x:c r="M49" s="5">
        <x:f t="shared" si="6"/>
        <x:v>688270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7"/>
        <x:v>0</x:v>
      </x:c>
      <x:c r="F50" s="5">
        <x:f t="shared" ref="F50:F60" si="9">+D50+E50</x:f>
        <x:v>0</x:v>
      </x:c>
      <x:c r="G50" s="6"/>
      <x:c r="H50" s="299"/>
      <x:c r="I50" s="3" t="s">
        <x:v>840</x:v>
      </x:c>
      <x:c r="J50" s="3" t="s">
        <x:v>65</x:v>
      </x:c>
      <x:c r="K50" s="4">
        <x:v>345900</x:v>
      </x:c>
      <x:c r="L50" s="4">
        <x:f t="shared" si="8"/>
        <x:v>34590</x:v>
      </x:c>
      <x:c r="M50" s="5">
        <x:f t="shared" si="6"/>
        <x:v>380490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7"/>
        <x:v>0</x:v>
      </x:c>
      <x:c r="F51" s="5">
        <x:f t="shared" si="9"/>
        <x:v>0</x:v>
      </x:c>
      <x:c r="G51" s="6"/>
      <x:c r="H51" s="299"/>
      <x:c r="I51" s="3" t="s">
        <x:v>886</x:v>
      </x:c>
      <x:c r="J51" s="3" t="s">
        <x:v>891</x:v>
      </x:c>
      <x:c r="K51" s="4">
        <x:v>3700000</x:v>
      </x:c>
      <x:c r="L51" s="4">
        <x:f t="shared" si="8"/>
        <x:v>370000</x:v>
      </x:c>
      <x:c r="M51" s="5">
        <x:f t="shared" si="6"/>
        <x:v>4070000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7"/>
        <x:v>0</x:v>
      </x:c>
      <x:c r="F52" s="5">
        <x:f t="shared" si="9"/>
        <x:v>0</x:v>
      </x:c>
      <x:c r="G52" s="6"/>
      <x:c r="H52" s="299"/>
      <x:c r="I52" s="3"/>
      <x:c r="J52" s="3"/>
      <x:c r="K52" s="4"/>
      <x:c r="L52" s="4">
        <x:f t="shared" si="8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7"/>
        <x:v>0</x:v>
      </x:c>
      <x:c r="F53" s="5">
        <x:f t="shared" si="9"/>
        <x:v>0</x:v>
      </x:c>
      <x:c r="G53" s="6"/>
      <x:c r="H53" s="299"/>
      <x:c r="I53" s="3"/>
      <x:c r="J53" s="3"/>
      <x:c r="K53" s="4"/>
      <x:c r="L53" s="4">
        <x:f t="shared" si="8"/>
        <x:v>0</x:v>
      </x:c>
      <x:c r="M53" s="5">
        <x:f t="shared" si="6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7"/>
        <x:v>0</x:v>
      </x:c>
      <x:c r="F54" s="5">
        <x:f t="shared" si="9"/>
        <x:v>0</x:v>
      </x:c>
      <x:c r="G54" s="6"/>
      <x:c r="H54" s="299"/>
      <x:c r="I54" s="3"/>
      <x:c r="J54" s="3"/>
      <x:c r="K54" s="4"/>
      <x:c r="L54" s="4">
        <x:f t="shared" si="8"/>
        <x:v>0</x:v>
      </x:c>
      <x:c r="M54" s="5">
        <x:f t="shared" si="6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7"/>
        <x:v>0</x:v>
      </x:c>
      <x:c r="F55" s="5">
        <x:f t="shared" si="9"/>
        <x:v>0</x:v>
      </x:c>
      <x:c r="G55" s="6"/>
      <x:c r="H55" s="299"/>
      <x:c r="I55" s="3"/>
      <x:c r="J55" s="3"/>
      <x:c r="K55" s="4"/>
      <x:c r="L55" s="4">
        <x:f t="shared" si="8"/>
        <x:v>0</x:v>
      </x:c>
      <x:c r="M55" s="5">
        <x:f t="shared" si="6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7"/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 t="shared" si="8"/>
        <x:v>0</x:v>
      </x:c>
      <x:c r="M56" s="5">
        <x:f t="shared" si="6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7"/>
        <x:v>0</x:v>
      </x:c>
      <x:c r="F57" s="5">
        <x:f t="shared" si="9"/>
        <x:v>0</x:v>
      </x:c>
      <x:c r="G57" s="6"/>
      <x:c r="H57" s="299"/>
      <x:c r="I57" s="3"/>
      <x:c r="J57" s="3"/>
      <x:c r="K57" s="4"/>
      <x:c r="L57" s="4">
        <x:f t="shared" si="8"/>
        <x:v>0</x:v>
      </x:c>
      <x:c r="M57" s="5">
        <x:f t="shared" si="6"/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 t="shared" si="7"/>
        <x:v>0</x:v>
      </x:c>
      <x:c r="F58" s="5">
        <x:f t="shared" si="9"/>
        <x:v>0</x:v>
      </x:c>
      <x:c r="G58" s="6"/>
      <x:c r="H58" s="299"/>
      <x:c r="I58" s="3"/>
      <x:c r="J58" s="3"/>
      <x:c r="K58" s="4"/>
      <x:c r="L58" s="4">
        <x:f t="shared" si="8"/>
        <x:v>0</x:v>
      </x:c>
      <x:c r="M58" s="5">
        <x:f t="shared" si="6"/>
        <x:v>0</x:v>
      </x:c>
      <x:c r="N58" s="6"/>
    </x:row>
    <x:row r="59" spans="1:14" ht="20.100000000000001" customHeight="1">
      <x:c r="A59" s="299"/>
      <x:c r="B59" s="3"/>
      <x:c r="C59" s="3"/>
      <x:c r="D59" s="4"/>
      <x:c r="E59" s="4">
        <x:f t="shared" si="7"/>
        <x:v>0</x:v>
      </x:c>
      <x:c r="F59" s="5">
        <x:f t="shared" si="9"/>
        <x:v>0</x:v>
      </x:c>
      <x:c r="G59" s="6"/>
      <x:c r="H59" s="299"/>
      <x:c r="I59" s="3"/>
      <x:c r="J59" s="3"/>
      <x:c r="K59" s="4"/>
      <x:c r="L59" s="4">
        <x:f t="shared" si="8"/>
        <x:v>0</x:v>
      </x:c>
      <x:c r="M59" s="5">
        <x:f t="shared" si="6"/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 t="shared" si="7"/>
        <x:v>0</x:v>
      </x:c>
      <x:c r="F60" s="5">
        <x:f t="shared" si="9"/>
        <x:v>0</x:v>
      </x:c>
      <x:c r="G60" s="6"/>
      <x:c r="H60" s="299"/>
      <x:c r="I60" s="3"/>
      <x:c r="J60" s="3"/>
      <x:c r="K60" s="4"/>
      <x:c r="L60" s="4">
        <x:f t="shared" si="8"/>
        <x:v>0</x:v>
      </x:c>
      <x:c r="M60" s="5">
        <x:f t="shared" si="6"/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/>
      <x:c r="F61" s="5"/>
      <x:c r="G61" s="6"/>
      <x:c r="H61" s="300"/>
      <x:c r="I61" s="3"/>
      <x:c r="J61" s="3"/>
      <x:c r="K61" s="4"/>
      <x:c r="L61" s="4">
        <x:f t="shared" si="8"/>
        <x:v>0</x:v>
      </x:c>
      <x:c r="M61" s="5">
        <x:f t="shared" si="6"/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SUM(D47:D61)</x:f>
        <x:v>0</x:v>
      </x:c>
      <x:c r="E62" s="9">
        <x:f>SUM(E47:E61)</x:f>
        <x:v>0</x:v>
      </x:c>
      <x:c r="F62" s="10">
        <x:f>SUM(F47:F61)</x:f>
        <x:v>0</x:v>
      </x:c>
      <x:c r="G62" s="11"/>
      <x:c r="H62" s="7"/>
      <x:c r="I62" s="8"/>
      <x:c r="J62" s="8"/>
      <x:c r="K62" s="9">
        <x:f>SUM(K47:K61)</x:f>
        <x:v>5953085</x:v>
      </x:c>
      <x:c r="L62" s="9">
        <x:f>SUM(L47:L61)</x:f>
        <x:v>595308.5</x:v>
      </x:c>
      <x:c r="M62" s="10">
        <x:f>SUM(M47:M61)</x:f>
        <x:v>6548393.5</x:v>
      </x:c>
      <x:c r="N62" s="11"/>
    </x:row>
    <x:row r="63" spans="1:14" ht="20.100000000000001" customHeight="1">
      <x:c r="A63" s="301" t="s">
        <x:v>153</x:v>
      </x:c>
      <x:c r="B63" s="3"/>
      <x:c r="C63" s="3"/>
      <x:c r="D63" s="44"/>
      <x:c r="E63" s="44">
        <x:f>+D63*0.1</x:f>
        <x:v>0</x:v>
      </x:c>
      <x:c r="F63" s="45">
        <x:f>+D63+E63</x:f>
        <x:v>0</x:v>
      </x:c>
      <x:c r="G63" s="37"/>
      <x:c r="H63" s="301" t="s">
        <x:v>153</x:v>
      </x:c>
      <x:c r="I63" s="3" t="s">
        <x:v>1677</x:v>
      </x:c>
      <x:c r="J63" s="3"/>
      <x:c r="K63" s="4">
        <x:v>4200000</x:v>
      </x:c>
      <x:c r="L63" s="4"/>
      <x:c r="M63" s="5">
        <x:f>+K63+L63</x:f>
        <x:v>4200000</x:v>
      </x:c>
      <x:c r="N63" s="6"/>
    </x:row>
    <x:row r="64" spans="1:14" ht="20.100000000000001" customHeight="1">
      <x:c r="A64" s="299"/>
      <x:c r="B64" s="3"/>
      <x:c r="C64" s="3"/>
      <x:c r="D64" s="44"/>
      <x:c r="E64" s="44">
        <x:f>+D64*0.1</x:f>
        <x:v>0</x:v>
      </x:c>
      <x:c r="F64" s="45">
        <x:f>+D64+E64</x:f>
        <x:v>0</x:v>
      </x:c>
      <x:c r="G64" s="37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0</x:v>
      </x:c>
      <x:c r="E67" s="9">
        <x:f>SUM(E63:E66)</x:f>
        <x:v>0</x:v>
      </x:c>
      <x:c r="F67" s="10">
        <x:f>SUM(F63:F66)</x:f>
        <x:v>0</x:v>
      </x:c>
      <x:c r="G67" s="11"/>
      <x:c r="H67" s="7"/>
      <x:c r="I67" s="8"/>
      <x:c r="J67" s="8"/>
      <x:c r="K67" s="9">
        <x:f>SUM(K63:K66)</x:f>
        <x:v>4200000</x:v>
      </x:c>
      <x:c r="L67" s="9">
        <x:f>SUM(L63:L66)</x:f>
        <x:v>0</x:v>
      </x:c>
      <x:c r="M67" s="10">
        <x:f>SUM(M63:M66)</x:f>
        <x:v>4200000</x:v>
      </x:c>
      <x:c r="N67" s="11"/>
    </x:row>
    <x:row r="68" spans="1:14" ht="20.100000000000001" customHeight="1">
      <x:c r="A68" s="301" t="s">
        <x:v>187</x:v>
      </x:c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1" t="s">
        <x:v>187</x:v>
      </x:c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299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</x:row>
    <x:row r="71" spans="1:14" ht="20.100000000000001" customHeight="1">
      <x:c r="A71" s="300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300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</x:row>
    <x:row r="72" spans="1:14" ht="20.100000000000001" customHeight="1">
      <x:c r="A72" s="7" t="s">
        <x:v>155</x:v>
      </x:c>
      <x:c r="B72" s="8"/>
      <x:c r="C72" s="8"/>
      <x:c r="D72" s="9">
        <x:f>SUM(D68:D71)</x:f>
        <x:v>0</x:v>
      </x:c>
      <x:c r="E72" s="9">
        <x:f>SUM(E68:E71)</x:f>
        <x:v>0</x:v>
      </x:c>
      <x:c r="F72" s="10">
        <x:f>SUM(F68:F71)</x:f>
        <x:v>0</x:v>
      </x:c>
      <x:c r="G72" s="11"/>
      <x:c r="H72" s="7"/>
      <x:c r="I72" s="8"/>
      <x:c r="J72" s="8"/>
      <x:c r="K72" s="9">
        <x:f>SUM(K68:K71)</x:f>
        <x:v>0</x:v>
      </x:c>
      <x:c r="L72" s="9">
        <x:f>SUM(L68:L71)</x:f>
        <x:v>0</x:v>
      </x:c>
      <x:c r="M72" s="10">
        <x:f>SUM(M68:M71)</x:f>
        <x:v>0</x:v>
      </x:c>
      <x:c r="N72" s="11"/>
    </x:row>
    <x:row r="73" spans="1:14" ht="20.100000000000001" customHeight="1">
      <x:c r="A73" s="301" t="s">
        <x:v>149</x:v>
      </x:c>
      <x:c r="B73" s="3" t="s">
        <x:v>61</x:v>
      </x:c>
      <x:c r="C73" s="3" t="s">
        <x:v>67</x:v>
      </x:c>
      <x:c r="D73" s="4">
        <x:v>450000</x:v>
      </x:c>
      <x:c r="E73" s="4"/>
      <x:c r="F73" s="5">
        <x:f>+D73+E73</x:f>
        <x:v>450000</x:v>
      </x:c>
      <x:c r="G73" s="6"/>
      <x:c r="H73" s="301" t="s">
        <x:v>149</x:v>
      </x:c>
      <x:c r="I73" s="3" t="s">
        <x:v>177</x:v>
      </x:c>
      <x:c r="J73" s="3" t="s">
        <x:v>837</x:v>
      </x:c>
      <x:c r="K73" s="4">
        <x:v>191500</x:v>
      </x:c>
      <x:c r="L73" s="4"/>
      <x:c r="M73" s="5">
        <x:f t="shared" ref="M73:M80" si="10">+K73+L73</x:f>
        <x:v>191500</x:v>
      </x:c>
      <x:c r="N73" s="6"/>
    </x:row>
    <x:row r="74" spans="1:14" ht="20.100000000000001" customHeight="1">
      <x:c r="A74" s="299"/>
      <x:c r="B74" s="3" t="s">
        <x:v>172</x:v>
      </x:c>
      <x:c r="C74" s="3" t="s">
        <x:v>66</x:v>
      </x:c>
      <x:c r="D74" s="4">
        <x:v>5000000</x:v>
      </x:c>
      <x:c r="E74" s="4"/>
      <x:c r="F74" s="5">
        <x:f>+D74+E74</x:f>
        <x:v>5000000</x:v>
      </x:c>
      <x:c r="G74" s="6"/>
      <x:c r="H74" s="299"/>
      <x:c r="I74" s="3" t="s">
        <x:v>883</x:v>
      </x:c>
      <x:c r="J74" s="3" t="s">
        <x:v>896</x:v>
      </x:c>
      <x:c r="K74" s="4">
        <x:v>580000</x:v>
      </x:c>
      <x:c r="L74" s="4">
        <x:f t="shared" ref="L74:L80" si="11">+K74*0.1</x:f>
        <x:v>58000</x:v>
      </x:c>
      <x:c r="M74" s="5">
        <x:f t="shared" si="10"/>
        <x:v>638000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>+D75+E75</x:f>
        <x:v>0</x:v>
      </x:c>
      <x:c r="G75" s="6"/>
      <x:c r="H75" s="299"/>
      <x:c r="I75" s="3" t="s">
        <x:v>887</x:v>
      </x:c>
      <x:c r="J75" s="3" t="s">
        <x:v>884</x:v>
      </x:c>
      <x:c r="K75" s="4">
        <x:v>776700</x:v>
      </x:c>
      <x:c r="L75" s="4">
        <x:v>2000</x:v>
      </x:c>
      <x:c r="M75" s="5">
        <x:f t="shared" si="10"/>
        <x:v>778700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ref="F76:F82" si="12">+D76+E76</x:f>
        <x:v>0</x:v>
      </x:c>
      <x:c r="G76" s="6"/>
      <x:c r="H76" s="299"/>
      <x:c r="I76" s="3"/>
      <x:c r="J76" s="3"/>
      <x:c r="K76" s="4"/>
      <x:c r="L76" s="4">
        <x:f t="shared" si="11"/>
        <x:v>0</x:v>
      </x:c>
      <x:c r="M76" s="5">
        <x:f t="shared" si="10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 t="shared" si="11"/>
        <x:v>0</x:v>
      </x:c>
      <x:c r="M77" s="5">
        <x:f t="shared" si="10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>
        <x:f t="shared" si="11"/>
        <x:v>0</x:v>
      </x:c>
      <x:c r="M78" s="5">
        <x:f t="shared" si="10"/>
        <x:v>0</x:v>
      </x:c>
      <x:c r="N78" s="6"/>
    </x:row>
    <x:row r="79" spans="1:14" ht="20.100000000000001" customHeight="1">
      <x:c r="A79" s="299"/>
      <x:c r="B79" s="3"/>
      <x:c r="C79" s="3"/>
      <x:c r="D79" s="4"/>
      <x:c r="E79" s="4"/>
      <x:c r="F79" s="5">
        <x:f t="shared" si="12"/>
        <x:v>0</x:v>
      </x:c>
      <x:c r="G79" s="6"/>
      <x:c r="H79" s="299"/>
      <x:c r="I79" s="3"/>
      <x:c r="J79" s="3"/>
      <x:c r="K79" s="4"/>
      <x:c r="L79" s="4">
        <x:f t="shared" si="11"/>
        <x:v>0</x:v>
      </x:c>
      <x:c r="M79" s="5">
        <x:f t="shared" si="10"/>
        <x:v>0</x:v>
      </x:c>
      <x:c r="N79" s="6"/>
    </x:row>
    <x:row r="80" spans="1:14" ht="20.100000000000001" customHeight="1">
      <x:c r="A80" s="299"/>
      <x:c r="B80" s="3"/>
      <x:c r="C80" s="3"/>
      <x:c r="D80" s="4"/>
      <x:c r="E80" s="4"/>
      <x:c r="F80" s="5">
        <x:f t="shared" si="12"/>
        <x:v>0</x:v>
      </x:c>
      <x:c r="G80" s="6"/>
      <x:c r="H80" s="299"/>
      <x:c r="I80" s="3"/>
      <x:c r="J80" s="3"/>
      <x:c r="K80" s="4"/>
      <x:c r="L80" s="4">
        <x:f t="shared" si="11"/>
        <x:v>0</x:v>
      </x:c>
      <x:c r="M80" s="5">
        <x:f t="shared" si="10"/>
        <x:v>0</x:v>
      </x:c>
      <x:c r="N80" s="6"/>
    </x:row>
    <x:row r="81" spans="1:14" ht="20.100000000000001" customHeight="1">
      <x:c r="A81" s="299"/>
      <x:c r="B81" s="3"/>
      <x:c r="C81" s="3"/>
      <x:c r="D81" s="4"/>
      <x:c r="E81" s="4"/>
      <x:c r="F81" s="5">
        <x:f t="shared" si="12"/>
        <x:v>0</x:v>
      </x:c>
      <x:c r="G81" s="6"/>
      <x:c r="H81" s="299"/>
      <x:c r="I81" s="3"/>
      <x:c r="J81" s="3"/>
      <x:c r="K81" s="4"/>
      <x:c r="L81" s="4"/>
      <x:c r="M81" s="5"/>
      <x:c r="N81" s="6"/>
    </x:row>
    <x:row r="82" spans="1:14" ht="20.100000000000001" customHeight="1">
      <x:c r="A82" s="300"/>
      <x:c r="B82" s="3"/>
      <x:c r="C82" s="3"/>
      <x:c r="D82" s="4"/>
      <x:c r="E82" s="4"/>
      <x:c r="F82" s="5">
        <x:f t="shared" si="12"/>
        <x:v>0</x:v>
      </x:c>
      <x:c r="G82" s="6"/>
      <x:c r="H82" s="300"/>
      <x:c r="I82" s="3"/>
      <x:c r="J82" s="3"/>
      <x:c r="K82" s="4"/>
      <x:c r="L82" s="4">
        <x:f>+K82*0.1</x:f>
        <x:v>0</x:v>
      </x:c>
      <x:c r="M82" s="5">
        <x:f>+K82+L82</x:f>
        <x:v>0</x:v>
      </x:c>
      <x:c r="N82" s="6"/>
    </x:row>
    <x:row r="83" spans="1:14" ht="20.100000000000001" customHeight="1">
      <x:c r="A83" s="7" t="s">
        <x:v>155</x:v>
      </x:c>
      <x:c r="B83" s="8"/>
      <x:c r="C83" s="8"/>
      <x:c r="D83" s="9">
        <x:f>SUM(D73:D82)</x:f>
        <x:v>5450000</x:v>
      </x:c>
      <x:c r="E83" s="9">
        <x:f>SUM(E73:E82)</x:f>
        <x:v>0</x:v>
      </x:c>
      <x:c r="F83" s="10">
        <x:f>SUM(F73:F82)</x:f>
        <x:v>5450000</x:v>
      </x:c>
      <x:c r="G83" s="11"/>
      <x:c r="H83" s="7"/>
      <x:c r="I83" s="8"/>
      <x:c r="J83" s="8"/>
      <x:c r="K83" s="9">
        <x:f>SUM(K73:K82)</x:f>
        <x:v>1548200</x:v>
      </x:c>
      <x:c r="L83" s="9">
        <x:f>SUM(L73:L82)</x:f>
        <x:v>60000</x:v>
      </x:c>
      <x:c r="M83" s="10">
        <x:f>SUM(M73:M82)</x:f>
        <x:v>1608200</x:v>
      </x:c>
      <x:c r="N83" s="11"/>
    </x:row>
    <x:row r="84" spans="1:14" ht="20.100000000000001" customHeight="1">
      <x:c r="A84" s="12" t="s">
        <x:v>1690</x:v>
      </x:c>
      <x:c r="B84" s="13"/>
      <x:c r="C84" s="13"/>
      <x:c r="D84" s="14">
        <x:f>+D62+D67+D72+D83</x:f>
        <x:v>5450000</x:v>
      </x:c>
      <x:c r="E84" s="14">
        <x:f>+E62+E67+E72+E83</x:f>
        <x:v>0</x:v>
      </x:c>
      <x:c r="F84" s="15">
        <x:f>+F62+F67+F72+F83</x:f>
        <x:v>5450000</x:v>
      </x:c>
      <x:c r="G84" s="16"/>
      <x:c r="H84" s="12"/>
      <x:c r="I84" s="13"/>
      <x:c r="J84" s="13"/>
      <x:c r="K84" s="14">
        <x:f>+K62+K67+K72+K83</x:f>
        <x:v>11701285</x:v>
      </x:c>
      <x:c r="L84" s="14">
        <x:f>+L62+L67+L72+L83</x:f>
        <x:v>655308.5</x:v>
      </x:c>
      <x:c r="M84" s="15">
        <x:f>+M62+M67+M72+M83</x:f>
        <x:v>12356593.5</x:v>
      </x:c>
      <x:c r="N84" s="16"/>
    </x:row>
    <x:row r="85" spans="1:14" ht="20.100000000000001" customHeight="1">
      <x:c r="A85" s="23" t="s">
        <x:v>35</x:v>
      </x:c>
      <x:c r="B85" s="24"/>
      <x:c r="C85" s="24"/>
      <x:c r="D85" s="25">
        <x:f>+D46-D84</x:f>
        <x:v>-5450000</x:v>
      </x:c>
      <x:c r="E85" s="25">
        <x:f>+E46-E84</x:f>
        <x:v>0</x:v>
      </x:c>
      <x:c r="F85" s="26">
        <x:f>+F46-F84</x:f>
        <x:v>-5450000</x:v>
      </x:c>
      <x:c r="G85" s="27"/>
      <x:c r="H85" s="23"/>
      <x:c r="I85" s="24"/>
      <x:c r="J85" s="24"/>
      <x:c r="K85" s="25">
        <x:f>+K46-K84</x:f>
        <x:v>5711715</x:v>
      </x:c>
      <x:c r="L85" s="25">
        <x:f>+L46-L84</x:f>
        <x:v>-468308.5</x:v>
      </x:c>
      <x:c r="M85" s="26">
        <x:f>+M46-M84</x:f>
        <x:v>5243406.5</x:v>
      </x:c>
      <x:c r="N85" s="27"/>
    </x:row>
    <x:row r="86" spans="1:14" ht="20.100000000000001" customHeight="1">
      <x:c r="A86" s="296" t="s">
        <x:v>316</x:v>
      </x:c>
      <x:c r="B86" s="297"/>
      <x:c r="C86" s="297"/>
      <x:c r="D86" s="297"/>
      <x:c r="E86" s="297"/>
      <x:c r="F86" s="297"/>
      <x:c r="G86" s="297"/>
      <x:c r="H86" s="302" t="s">
        <x:v>333</x:v>
      </x:c>
      <x:c r="I86" s="303"/>
      <x:c r="J86" s="303"/>
      <x:c r="K86" s="303"/>
      <x:c r="L86" s="303"/>
      <x:c r="M86" s="304"/>
      <x:c r="N86" s="305"/>
    </x:row>
    <x:row r="87" spans="1:14" ht="20.100000000000001" customHeight="1">
      <x:c r="A87" s="29" t="s">
        <x:v>147</x:v>
      </x:c>
      <x:c r="B87" s="30" t="s">
        <x:v>144</x:v>
      </x:c>
      <x:c r="C87" s="30" t="s">
        <x:v>150</x:v>
      </x:c>
      <x:c r="D87" s="31" t="s">
        <x:v>145</x:v>
      </x:c>
      <x:c r="E87" s="31" t="s">
        <x:v>152</x:v>
      </x:c>
      <x:c r="F87" s="32" t="s">
        <x:v>146</x:v>
      </x:c>
      <x:c r="G87" s="33" t="s">
        <x:v>154</x:v>
      </x:c>
      <x:c r="H87" s="29" t="s">
        <x:v>147</x:v>
      </x:c>
      <x:c r="I87" s="30" t="s">
        <x:v>144</x:v>
      </x:c>
      <x:c r="J87" s="30" t="s">
        <x:v>150</x:v>
      </x:c>
      <x:c r="K87" s="31" t="s">
        <x:v>145</x:v>
      </x:c>
      <x:c r="L87" s="31" t="s">
        <x:v>152</x:v>
      </x:c>
      <x:c r="M87" s="31" t="s">
        <x:v>146</x:v>
      </x:c>
      <x:c r="N87" s="34" t="s">
        <x:v>154</x:v>
      </x:c>
    </x:row>
    <x:row r="88" spans="1:14" ht="20.100000000000001" customHeight="1">
      <x:c r="A88" s="48" t="s">
        <x:v>151</x:v>
      </x:c>
      <x:c r="B88" s="38" t="s">
        <x:v>1679</x:v>
      </x:c>
      <x:c r="C88" s="38" t="s">
        <x:v>906</x:v>
      </x:c>
      <x:c r="D88" s="39"/>
      <x:c r="E88" s="39">
        <x:f>+D88*0.1</x:f>
        <x:v>0</x:v>
      </x:c>
      <x:c r="F88" s="40">
        <x:f>+D88+E88</x:f>
        <x:v>0</x:v>
      </x:c>
      <x:c r="G88" s="18"/>
      <x:c r="H88" s="41" t="s">
        <x:v>151</x:v>
      </x:c>
      <x:c r="I88" s="38" t="s">
        <x:v>1679</x:v>
      </x:c>
      <x:c r="J88" s="38" t="s">
        <x:v>906</x:v>
      </x:c>
      <x:c r="K88" s="39"/>
      <x:c r="L88" s="39"/>
      <x:c r="M88" s="40">
        <x:f>+K88+L88</x:f>
        <x:v>0</x:v>
      </x:c>
      <x:c r="N88" s="42"/>
    </x:row>
    <x:row r="89" spans="1:14" ht="20.100000000000001" customHeight="1">
      <x:c r="A89" s="298" t="s">
        <x:v>148</x:v>
      </x:c>
      <x:c r="B89" s="19"/>
      <x:c r="C89" s="19"/>
      <x:c r="D89" s="20"/>
      <x:c r="E89" s="20">
        <x:f>+INT(D89*0.1)</x:f>
        <x:v>0</x:v>
      </x:c>
      <x:c r="F89" s="21">
        <x:f>+D89+E89</x:f>
        <x:v>0</x:v>
      </x:c>
      <x:c r="G89" s="22"/>
      <x:c r="H89" s="298" t="s">
        <x:v>148</x:v>
      </x:c>
      <x:c r="I89" s="19" t="s">
        <x:v>850</x:v>
      </x:c>
      <x:c r="J89" s="19" t="s">
        <x:v>879</x:v>
      </x:c>
      <x:c r="K89" s="20">
        <x:v>110000</x:v>
      </x:c>
      <x:c r="L89" s="20">
        <x:f>+K89*0.1</x:f>
        <x:v>11000</x:v>
      </x:c>
      <x:c r="M89" s="21">
        <x:f t="shared" ref="M89:M103" si="13">+K89+L89</x:f>
        <x:v>121000</x:v>
      </x:c>
      <x:c r="N89" s="22"/>
    </x:row>
    <x:row r="90" spans="1:14" ht="20.100000000000001" customHeight="1">
      <x:c r="A90" s="299"/>
      <x:c r="B90" s="3"/>
      <x:c r="C90" s="3"/>
      <x:c r="D90" s="4"/>
      <x:c r="E90" s="4">
        <x:f t="shared" ref="E90:E102" si="14">+INT(D90*0.1)</x:f>
        <x:v>0</x:v>
      </x:c>
      <x:c r="F90" s="5">
        <x:f>+D90+E90</x:f>
        <x:v>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>+D91+E91</x:f>
        <x:v>0</x:v>
      </x:c>
      <x:c r="G91" s="6"/>
      <x:c r="H91" s="299"/>
      <x:c r="I91" s="3"/>
      <x:c r="J91" s="3"/>
      <x:c r="K91" s="4"/>
      <x:c r="L91" s="4">
        <x:f t="shared" ref="L91:L103" si="15"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ref="F92:F102" si="16">+D92+E92</x:f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4"/>
        <x:v>0</x:v>
      </x:c>
      <x:c r="F98" s="5">
        <x:f t="shared" si="16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4"/>
        <x:v>0</x:v>
      </x:c>
      <x:c r="F99" s="5">
        <x:f t="shared" si="16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 t="shared" si="14"/>
        <x:v>0</x:v>
      </x:c>
      <x:c r="F100" s="5">
        <x:f t="shared" si="16"/>
        <x:v>0</x:v>
      </x:c>
      <x:c r="G100" s="6"/>
      <x:c r="H100" s="299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 t="shared" si="14"/>
        <x:v>0</x:v>
      </x:c>
      <x:c r="F101" s="5">
        <x:f t="shared" si="16"/>
        <x:v>0</x:v>
      </x:c>
      <x:c r="G101" s="6"/>
      <x:c r="H101" s="299"/>
      <x:c r="I101" s="3"/>
      <x:c r="J101" s="3"/>
      <x:c r="K101" s="4"/>
      <x:c r="L101" s="4">
        <x:f t="shared" si="15"/>
        <x:v>0</x:v>
      </x:c>
      <x:c r="M101" s="5">
        <x:f t="shared" si="13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 t="shared" si="14"/>
        <x:v>0</x:v>
      </x:c>
      <x:c r="F102" s="5">
        <x:f t="shared" si="16"/>
        <x:v>0</x:v>
      </x:c>
      <x:c r="G102" s="6"/>
      <x:c r="H102" s="299"/>
      <x:c r="I102" s="3"/>
      <x:c r="J102" s="3"/>
      <x:c r="K102" s="4"/>
      <x:c r="L102" s="4">
        <x:f t="shared" si="15"/>
        <x:v>0</x:v>
      </x:c>
      <x:c r="M102" s="5">
        <x:f t="shared" si="13"/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/>
      <x:c r="F103" s="5"/>
      <x:c r="G103" s="6"/>
      <x:c r="H103" s="300"/>
      <x:c r="I103" s="3"/>
      <x:c r="J103" s="3"/>
      <x:c r="K103" s="4"/>
      <x:c r="L103" s="4">
        <x:f t="shared" si="15"/>
        <x:v>0</x:v>
      </x:c>
      <x:c r="M103" s="5">
        <x:f t="shared" si="13"/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SUM(D89:D103)</x:f>
        <x:v>0</x:v>
      </x:c>
      <x:c r="E104" s="9">
        <x:f>SUM(E89:E103)</x:f>
        <x:v>0</x:v>
      </x:c>
      <x:c r="F104" s="10">
        <x:f>SUM(F89:F103)</x:f>
        <x:v>0</x:v>
      </x:c>
      <x:c r="G104" s="11"/>
      <x:c r="H104" s="7"/>
      <x:c r="I104" s="8"/>
      <x:c r="J104" s="8"/>
      <x:c r="K104" s="9">
        <x:f>SUM(K89:K103)</x:f>
        <x:v>110000</x:v>
      </x:c>
      <x:c r="L104" s="9">
        <x:f>SUM(L89:L103)</x:f>
        <x:v>11000</x:v>
      </x:c>
      <x:c r="M104" s="10">
        <x:f>SUM(M89:M103)</x:f>
        <x:v>121000</x:v>
      </x:c>
      <x:c r="N104" s="11"/>
    </x:row>
    <x:row r="105" spans="1:14" ht="20.100000000000001" customHeight="1">
      <x:c r="A105" s="301" t="s">
        <x:v>153</x:v>
      </x:c>
      <x:c r="B105" s="3"/>
      <x:c r="C105" s="3"/>
      <x:c r="D105" s="44"/>
      <x:c r="E105" s="44">
        <x:f>+D105*0.1</x:f>
        <x:v>0</x:v>
      </x:c>
      <x:c r="F105" s="45">
        <x:f>+D105+E105</x:f>
        <x:v>0</x:v>
      </x:c>
      <x:c r="G105" s="37"/>
      <x:c r="H105" s="301" t="s">
        <x:v>153</x:v>
      </x:c>
      <x:c r="I105" s="3"/>
      <x:c r="J105" s="3"/>
      <x:c r="K105" s="4"/>
      <x:c r="L105" s="4"/>
      <x:c r="M105" s="5">
        <x:f>+K105+L105</x:f>
        <x:v>0</x:v>
      </x:c>
      <x:c r="N105" s="6"/>
    </x:row>
    <x:row r="106" spans="1:14" ht="20.100000000000001" customHeight="1">
      <x:c r="A106" s="299"/>
      <x:c r="B106" s="3"/>
      <x:c r="C106" s="3"/>
      <x:c r="D106" s="44"/>
      <x:c r="E106" s="44">
        <x:f>+D106*0.1</x:f>
        <x:v>0</x:v>
      </x:c>
      <x:c r="F106" s="45">
        <x:f>+D106+E106</x:f>
        <x:v>0</x:v>
      </x:c>
      <x:c r="G106" s="37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0</x:v>
      </x:c>
      <x:c r="E109" s="9">
        <x:f>SUM(E105:E108)</x:f>
        <x:v>0</x:v>
      </x:c>
      <x:c r="F109" s="10">
        <x:f>SUM(F105:F108)</x:f>
        <x:v>0</x:v>
      </x:c>
      <x:c r="G109" s="11"/>
      <x:c r="H109" s="7"/>
      <x:c r="I109" s="8"/>
      <x:c r="J109" s="8"/>
      <x:c r="K109" s="9">
        <x:f>SUM(K105:K108)</x:f>
        <x:v>0</x:v>
      </x:c>
      <x:c r="L109" s="9">
        <x:f>SUM(L105:L108)</x:f>
        <x:v>0</x:v>
      </x:c>
      <x:c r="M109" s="10">
        <x:f>SUM(M105:M108)</x:f>
        <x:v>0</x:v>
      </x:c>
      <x:c r="N109" s="11"/>
    </x:row>
    <x:row r="110" spans="1:14" ht="20.100000000000001" customHeight="1">
      <x:c r="A110" s="301" t="s">
        <x:v>187</x:v>
      </x:c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1" t="s">
        <x:v>187</x:v>
      </x:c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300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300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7" t="s">
        <x:v>155</x:v>
      </x:c>
      <x:c r="B114" s="8"/>
      <x:c r="C114" s="8"/>
      <x:c r="D114" s="9">
        <x:f>SUM(D110:D113)</x:f>
        <x:v>0</x:v>
      </x:c>
      <x:c r="E114" s="9">
        <x:f>SUM(E110:E113)</x:f>
        <x:v>0</x:v>
      </x:c>
      <x:c r="F114" s="10">
        <x:f>SUM(F110:F113)</x:f>
        <x:v>0</x:v>
      </x:c>
      <x:c r="G114" s="11"/>
      <x:c r="H114" s="7"/>
      <x:c r="I114" s="8"/>
      <x:c r="J114" s="8"/>
      <x:c r="K114" s="9">
        <x:f>SUM(K110:K113)</x:f>
        <x:v>0</x:v>
      </x:c>
      <x:c r="L114" s="9">
        <x:f>SUM(L110:L113)</x:f>
        <x:v>0</x:v>
      </x:c>
      <x:c r="M114" s="10">
        <x:f>SUM(M110:M113)</x:f>
        <x:v>0</x:v>
      </x:c>
      <x:c r="N114" s="11"/>
    </x:row>
    <x:row r="115" spans="1:14" ht="20.100000000000001" customHeight="1">
      <x:c r="A115" s="301" t="s">
        <x:v>149</x:v>
      </x:c>
      <x:c r="B115" s="3"/>
      <x:c r="C115" s="3"/>
      <x:c r="D115" s="4"/>
      <x:c r="E115" s="4"/>
      <x:c r="F115" s="5">
        <x:f>+D115+E115</x:f>
        <x:v>0</x:v>
      </x:c>
      <x:c r="G115" s="6"/>
      <x:c r="H115" s="301" t="s">
        <x:v>149</x:v>
      </x:c>
      <x:c r="I115" s="3"/>
      <x:c r="J115" s="3"/>
      <x:c r="K115" s="4"/>
      <x:c r="L115" s="4">
        <x:f>+K115*0.1</x:f>
        <x:v>0</x:v>
      </x:c>
      <x:c r="M115" s="5">
        <x:f t="shared" ref="M115:M122" si="17">+K115+L115</x:f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>+D116+E116</x:f>
        <x:v>0</x:v>
      </x:c>
      <x:c r="G116" s="6"/>
      <x:c r="H116" s="299"/>
      <x:c r="I116" s="3"/>
      <x:c r="J116" s="3"/>
      <x:c r="K116" s="4"/>
      <x:c r="L116" s="4">
        <x:f t="shared" ref="L116:L122" si="18">+K116*0.1</x:f>
        <x:v>0</x:v>
      </x:c>
      <x:c r="M116" s="5">
        <x:f t="shared" si="17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>+D117+E117</x:f>
        <x:v>0</x:v>
      </x:c>
      <x:c r="G117" s="6"/>
      <x:c r="H117" s="299"/>
      <x:c r="I117" s="3"/>
      <x:c r="J117" s="3"/>
      <x:c r="K117" s="4"/>
      <x:c r="L117" s="4">
        <x:f t="shared" si="18"/>
        <x:v>0</x:v>
      </x:c>
      <x:c r="M117" s="5">
        <x:f t="shared" si="17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ref="F118:F124" si="19">+D118+E118</x:f>
        <x:v>0</x:v>
      </x:c>
      <x:c r="G118" s="6"/>
      <x:c r="H118" s="299"/>
      <x:c r="I118" s="3"/>
      <x:c r="J118" s="3"/>
      <x:c r="K118" s="4"/>
      <x:c r="L118" s="4">
        <x:f t="shared" si="18"/>
        <x:v>0</x:v>
      </x:c>
      <x:c r="M118" s="5">
        <x:f t="shared" si="17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9"/>
        <x:v>0</x:v>
      </x:c>
      <x:c r="G119" s="6"/>
      <x:c r="H119" s="299"/>
      <x:c r="I119" s="3"/>
      <x:c r="J119" s="3"/>
      <x:c r="K119" s="4"/>
      <x:c r="L119" s="4">
        <x:f t="shared" si="18"/>
        <x:v>0</x:v>
      </x:c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9"/>
        <x:v>0</x:v>
      </x:c>
      <x:c r="G120" s="6"/>
      <x:c r="H120" s="299"/>
      <x:c r="I120" s="3"/>
      <x:c r="J120" s="3"/>
      <x:c r="K120" s="4"/>
      <x:c r="L120" s="4">
        <x:f t="shared" si="18"/>
        <x:v>0</x:v>
      </x:c>
      <x:c r="M120" s="5">
        <x:f t="shared" si="17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>
        <x:f t="shared" si="19"/>
        <x:v>0</x:v>
      </x:c>
      <x:c r="G121" s="6"/>
      <x:c r="H121" s="299"/>
      <x:c r="I121" s="3"/>
      <x:c r="J121" s="3"/>
      <x:c r="K121" s="4"/>
      <x:c r="L121" s="4">
        <x:f t="shared" si="18"/>
        <x:v>0</x:v>
      </x:c>
      <x:c r="M121" s="5">
        <x:f t="shared" si="17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>
        <x:f t="shared" si="19"/>
        <x:v>0</x:v>
      </x:c>
      <x:c r="G122" s="6"/>
      <x:c r="H122" s="299"/>
      <x:c r="I122" s="3"/>
      <x:c r="J122" s="3"/>
      <x:c r="K122" s="4"/>
      <x:c r="L122" s="4">
        <x:f t="shared" si="18"/>
        <x:v>0</x:v>
      </x:c>
      <x:c r="M122" s="5">
        <x:f t="shared" si="17"/>
        <x:v>0</x:v>
      </x:c>
      <x:c r="N122" s="6"/>
    </x:row>
    <x:row r="123" spans="1:14" ht="20.100000000000001" customHeight="1">
      <x:c r="A123" s="299"/>
      <x:c r="B123" s="3"/>
      <x:c r="C123" s="3"/>
      <x:c r="D123" s="4"/>
      <x:c r="E123" s="4"/>
      <x:c r="F123" s="5">
        <x:f t="shared" si="19"/>
        <x:v>0</x:v>
      </x:c>
      <x:c r="G123" s="6"/>
      <x:c r="H123" s="299"/>
      <x:c r="I123" s="3"/>
      <x:c r="J123" s="3"/>
      <x:c r="K123" s="4"/>
      <x:c r="L123" s="4"/>
      <x:c r="M123" s="5"/>
      <x:c r="N123" s="6"/>
    </x:row>
    <x:row r="124" spans="1:14" ht="20.100000000000001" customHeight="1">
      <x:c r="A124" s="300"/>
      <x:c r="B124" s="3"/>
      <x:c r="C124" s="3"/>
      <x:c r="D124" s="4"/>
      <x:c r="E124" s="4"/>
      <x:c r="F124" s="5">
        <x:f t="shared" si="19"/>
        <x:v>0</x:v>
      </x:c>
      <x:c r="G124" s="6"/>
      <x:c r="H124" s="300"/>
      <x:c r="I124" s="3"/>
      <x:c r="J124" s="3"/>
      <x:c r="K124" s="4"/>
      <x:c r="L124" s="4">
        <x:f>+K124*0.1</x:f>
        <x:v>0</x:v>
      </x:c>
      <x:c r="M124" s="5">
        <x:f>+K124+L124</x:f>
        <x:v>0</x:v>
      </x:c>
      <x:c r="N124" s="6"/>
    </x:row>
    <x:row r="125" spans="1:14" ht="20.100000000000001" customHeight="1">
      <x:c r="A125" s="7" t="s">
        <x:v>155</x:v>
      </x:c>
      <x:c r="B125" s="8"/>
      <x:c r="C125" s="8"/>
      <x:c r="D125" s="9">
        <x:f>SUM(D115:D124)</x:f>
        <x:v>0</x:v>
      </x:c>
      <x:c r="E125" s="9">
        <x:f>SUM(E115:E124)</x:f>
        <x:v>0</x:v>
      </x:c>
      <x:c r="F125" s="10">
        <x:f>SUM(F115:F124)</x:f>
        <x:v>0</x:v>
      </x:c>
      <x:c r="G125" s="11"/>
      <x:c r="H125" s="7"/>
      <x:c r="I125" s="8"/>
      <x:c r="J125" s="8"/>
      <x:c r="K125" s="9">
        <x:f>SUM(K115:K124)</x:f>
        <x:v>0</x:v>
      </x:c>
      <x:c r="L125" s="9">
        <x:f>SUM(L115:L124)</x:f>
        <x:v>0</x:v>
      </x:c>
      <x:c r="M125" s="10">
        <x:f>SUM(M115:M124)</x:f>
        <x:v>0</x:v>
      </x:c>
      <x:c r="N125" s="11"/>
    </x:row>
    <x:row r="126" spans="1:14" ht="20.100000000000001" customHeight="1">
      <x:c r="A126" s="12" t="s">
        <x:v>1690</x:v>
      </x:c>
      <x:c r="B126" s="13"/>
      <x:c r="C126" s="13"/>
      <x:c r="D126" s="14">
        <x:f>+D104+D109+D114+D125</x:f>
        <x:v>0</x:v>
      </x:c>
      <x:c r="E126" s="14">
        <x:f>+E104+E109+E114+E125</x:f>
        <x:v>0</x:v>
      </x:c>
      <x:c r="F126" s="15">
        <x:f>+F104+F109+F114+F125</x:f>
        <x:v>0</x:v>
      </x:c>
      <x:c r="G126" s="16"/>
      <x:c r="H126" s="12"/>
      <x:c r="I126" s="13"/>
      <x:c r="J126" s="13"/>
      <x:c r="K126" s="14">
        <x:f>+K104+K109+K114+K125</x:f>
        <x:v>110000</x:v>
      </x:c>
      <x:c r="L126" s="14">
        <x:f>+L104+L109+L114+L125</x:f>
        <x:v>11000</x:v>
      </x:c>
      <x:c r="M126" s="15">
        <x:f>+M104+M109+M114+M125</x:f>
        <x:v>121000</x:v>
      </x:c>
      <x:c r="N126" s="16"/>
    </x:row>
    <x:row r="127" spans="1:14" ht="20.100000000000001" customHeight="1">
      <x:c r="A127" s="23" t="s">
        <x:v>35</x:v>
      </x:c>
      <x:c r="B127" s="24"/>
      <x:c r="C127" s="24"/>
      <x:c r="D127" s="25">
        <x:f>+D88-D126</x:f>
        <x:v>0</x:v>
      </x:c>
      <x:c r="E127" s="25">
        <x:f>+E88-E126</x:f>
        <x:v>0</x:v>
      </x:c>
      <x:c r="F127" s="26">
        <x:f>+F88-F126</x:f>
        <x:v>0</x:v>
      </x:c>
      <x:c r="G127" s="27"/>
      <x:c r="H127" s="23"/>
      <x:c r="I127" s="24"/>
      <x:c r="J127" s="24"/>
      <x:c r="K127" s="25">
        <x:f>+K88-K126</x:f>
        <x:v>-110000</x:v>
      </x:c>
      <x:c r="L127" s="25">
        <x:f>+L88-L126</x:f>
        <x:v>-11000</x:v>
      </x:c>
      <x:c r="M127" s="26">
        <x:f>+M88-M126</x:f>
        <x:v>-121000</x:v>
      </x:c>
      <x:c r="N127" s="27"/>
    </x:row>
  </x:sheetData>
  <x:mergeCells count="31">
    <x:mergeCell ref="A21:A24"/>
    <x:mergeCell ref="H21:H24"/>
    <x:mergeCell ref="A1:N1"/>
    <x:mergeCell ref="A2:G2"/>
    <x:mergeCell ref="H2:N2"/>
    <x:mergeCell ref="A5:A19"/>
    <x:mergeCell ref="H5:H19"/>
    <x:mergeCell ref="A26:A29"/>
    <x:mergeCell ref="H26:H29"/>
    <x:mergeCell ref="A31:A40"/>
    <x:mergeCell ref="H31:H40"/>
    <x:mergeCell ref="A44:G44"/>
    <x:mergeCell ref="H44:N44"/>
    <x:mergeCell ref="A47:A61"/>
    <x:mergeCell ref="H47:H61"/>
    <x:mergeCell ref="A63:A66"/>
    <x:mergeCell ref="H63:H66"/>
    <x:mergeCell ref="A68:A71"/>
    <x:mergeCell ref="H68:H71"/>
    <x:mergeCell ref="A73:A82"/>
    <x:mergeCell ref="H73:H82"/>
    <x:mergeCell ref="A86:G86"/>
    <x:mergeCell ref="H86:N86"/>
    <x:mergeCell ref="A89:A103"/>
    <x:mergeCell ref="H89:H103"/>
    <x:mergeCell ref="A105:A108"/>
    <x:mergeCell ref="H105:H108"/>
    <x:mergeCell ref="A110:A113"/>
    <x:mergeCell ref="H110:H113"/>
    <x:mergeCell ref="A115:A124"/>
    <x:mergeCell ref="H115:H12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3" min="0" max="1048575" man="1" pt="0"/>
  </x:rowBreaks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N127"/>
  <x:sheetViews>
    <x:sheetView view="pageBreakPreview" topLeftCell="A1" zoomScaleNormal="100" zoomScaleSheetLayoutView="100" workbookViewId="0">
      <x:selection activeCell="D11" activeCellId="0" sqref="D11:D1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49" t="s">
        <x:v>151</x:v>
      </x:c>
      <x:c r="B4" s="38" t="s">
        <x:v>1679</x:v>
      </x:c>
      <x:c r="C4" s="38" t="s">
        <x:v>156</x:v>
      </x:c>
      <x:c r="D4" s="39">
        <x:f>11840074+13158328-498402</x:f>
        <x:v>24500000</x:v>
      </x:c>
      <x:c r="E4" s="39">
        <x:f>+D4*0.1</x:f>
        <x:v>2450000</x:v>
      </x:c>
      <x:c r="F4" s="40">
        <x:f>+D4+E4</x:f>
        <x:v>26950000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51360000</x:v>
      </x:c>
      <x:c r="L4" s="39">
        <x:v>2640000</x:v>
      </x:c>
      <x:c r="M4" s="40">
        <x:f>+K4+L4</x:f>
        <x:v>54000000</x:v>
      </x:c>
      <x:c r="N4" s="42"/>
    </x:row>
    <x:row r="5" spans="1:14" ht="20.100000000000001" customHeight="1">
      <x:c r="A5" s="298" t="s">
        <x:v>148</x:v>
      </x:c>
      <x:c r="B5" s="19" t="s">
        <x:v>13</x:v>
      </x:c>
      <x:c r="C5" s="19" t="s">
        <x:v>881</x:v>
      </x:c>
      <x:c r="D5" s="20">
        <x:v>17100</x:v>
      </x:c>
      <x:c r="E5" s="20">
        <x:f>+INT(D5*0.1)</x:f>
        <x:v>1710</x:v>
      </x:c>
      <x:c r="F5" s="21">
        <x:f>+D5+E5</x:f>
        <x:v>18810</x:v>
      </x:c>
      <x:c r="G5" s="22"/>
      <x:c r="H5" s="298" t="s">
        <x:v>148</x:v>
      </x:c>
      <x:c r="I5" s="19" t="s">
        <x:v>838</x:v>
      </x:c>
      <x:c r="J5" s="19" t="s">
        <x:v>62</x:v>
      </x:c>
      <x:c r="K5" s="20">
        <x:v>3344400</x:v>
      </x:c>
      <x:c r="L5" s="20">
        <x:f>+K5*0.1</x:f>
        <x:v>334440</x:v>
      </x:c>
      <x:c r="M5" s="21">
        <x:f t="shared" ref="M5:M24" si="0">+K5+L5</x:f>
        <x:v>3678840</x:v>
      </x:c>
      <x:c r="N5" s="22"/>
    </x:row>
    <x:row r="6" spans="1:14" ht="20.100000000000001" customHeight="1">
      <x:c r="A6" s="299"/>
      <x:c r="B6" s="3" t="s">
        <x:v>854</x:v>
      </x:c>
      <x:c r="C6" s="3" t="s">
        <x:v>89</x:v>
      </x:c>
      <x:c r="D6" s="4">
        <x:v>324800</x:v>
      </x:c>
      <x:c r="E6" s="4">
        <x:f t="shared" ref="E6:E18" si="1">+INT(D6*0.1)</x:f>
        <x:v>32480</x:v>
      </x:c>
      <x:c r="F6" s="5">
        <x:f>+D6+E6</x:f>
        <x:v>357280</x:v>
      </x:c>
      <x:c r="G6" s="6"/>
      <x:c r="H6" s="299"/>
      <x:c r="I6" s="3" t="s">
        <x:v>34</x:v>
      </x:c>
      <x:c r="J6" s="3" t="s">
        <x:v>898</x:v>
      </x:c>
      <x:c r="K6" s="4">
        <x:v>55000</x:v>
      </x:c>
      <x:c r="L6" s="4">
        <x:f>+K6*0.1</x:f>
        <x:v>5500</x:v>
      </x:c>
      <x:c r="M6" s="5">
        <x:f t="shared" si="0"/>
        <x:v>60500</x:v>
      </x:c>
      <x:c r="N6" s="6"/>
    </x:row>
    <x:row r="7" spans="1:14" ht="20.100000000000001" customHeight="1">
      <x:c r="A7" s="299"/>
      <x:c r="B7" s="3" t="s">
        <x:v>867</x:v>
      </x:c>
      <x:c r="C7" s="3" t="s">
        <x:v>1691</x:v>
      </x:c>
      <x:c r="D7" s="4">
        <x:v>2904000</x:v>
      </x:c>
      <x:c r="E7" s="4">
        <x:f t="shared" si="1"/>
        <x:v>290400</x:v>
      </x:c>
      <x:c r="F7" s="5">
        <x:f>+D7+E7</x:f>
        <x:v>3194400</x:v>
      </x:c>
      <x:c r="G7" s="6"/>
      <x:c r="H7" s="299"/>
      <x:c r="I7" s="3" t="s">
        <x:v>867</x:v>
      </x:c>
      <x:c r="J7" s="3" t="s">
        <x:v>893</x:v>
      </x:c>
      <x:c r="K7" s="4">
        <x:v>37691172</x:v>
      </x:c>
      <x:c r="L7" s="4">
        <x:f t="shared" ref="L7:L24" si="2">+K7*0.1</x:f>
        <x:v>3769117.2000000002</x:v>
      </x:c>
      <x:c r="M7" s="5">
        <x:f t="shared" si="0"/>
        <x:v>41460289.200000003</x:v>
      </x:c>
      <x:c r="N7" s="6"/>
    </x:row>
    <x:row r="8" spans="1:14" ht="20.100000000000001" customHeight="1">
      <x:c r="A8" s="299"/>
      <x:c r="B8" s="3" t="s">
        <x:v>890</x:v>
      </x:c>
      <x:c r="C8" s="3" t="s">
        <x:v>183</x:v>
      </x:c>
      <x:c r="D8" s="4">
        <x:v>3900000</x:v>
      </x:c>
      <x:c r="E8" s="4">
        <x:f t="shared" si="1"/>
        <x:v>390000</x:v>
      </x:c>
      <x:c r="F8" s="5">
        <x:f t="shared" ref="F8:F18" si="3">+D8+E8</x:f>
        <x:v>4290000</x:v>
      </x:c>
      <x:c r="G8" s="6"/>
      <x:c r="H8" s="299"/>
      <x:c r="I8" s="3" t="s">
        <x:v>864</x:v>
      </x:c>
      <x:c r="J8" s="3" t="s">
        <x:v>9</x:v>
      </x:c>
      <x:c r="K8" s="4">
        <x:v>4301850</x:v>
      </x:c>
      <x:c r="L8" s="4">
        <x:f t="shared" si="2"/>
        <x:v>430185</x:v>
      </x:c>
      <x:c r="M8" s="5">
        <x:f t="shared" si="0"/>
        <x:v>4732035</x:v>
      </x:c>
      <x:c r="N8" s="6"/>
    </x:row>
    <x:row r="9" spans="1:14" ht="20.100000000000001" customHeight="1">
      <x:c r="A9" s="299"/>
      <x:c r="B9" s="3" t="s">
        <x:v>846</x:v>
      </x:c>
      <x:c r="C9" s="3" t="s">
        <x:v>888</x:v>
      </x:c>
      <x:c r="D9" s="4">
        <x:v>403500</x:v>
      </x:c>
      <x:c r="E9" s="4">
        <x:f t="shared" si="1"/>
        <x:v>40350</x:v>
      </x:c>
      <x:c r="F9" s="5">
        <x:f t="shared" si="3"/>
        <x:v>443850</x:v>
      </x:c>
      <x:c r="G9" s="6"/>
      <x:c r="H9" s="299"/>
      <x:c r="I9" s="3" t="s">
        <x:v>854</x:v>
      </x:c>
      <x:c r="J9" s="3" t="s">
        <x:v>10</x:v>
      </x:c>
      <x:c r="K9" s="4">
        <x:v>2705050</x:v>
      </x:c>
      <x:c r="L9" s="4">
        <x:f t="shared" si="2"/>
        <x:v>270505</x:v>
      </x:c>
      <x:c r="M9" s="5">
        <x:f t="shared" si="0"/>
        <x:v>2975555</x:v>
      </x:c>
      <x:c r="N9" s="6"/>
    </x:row>
    <x:row r="10" spans="1:14" ht="20.100000000000001" customHeight="1">
      <x:c r="A10" s="299"/>
      <x:c r="B10" s="3" t="s">
        <x:v>1705</x:v>
      </x:c>
      <x:c r="C10" s="3" t="s">
        <x:v>14</x:v>
      </x:c>
      <x:c r="D10" s="4">
        <x:v>990000</x:v>
      </x:c>
      <x:c r="E10" s="4">
        <x:f t="shared" si="1"/>
        <x:v>99000</x:v>
      </x:c>
      <x:c r="F10" s="5">
        <x:f t="shared" si="3"/>
        <x:v>1089000</x:v>
      </x:c>
      <x:c r="G10" s="6"/>
      <x:c r="H10" s="299"/>
      <x:c r="I10" s="3" t="s">
        <x:v>846</x:v>
      </x:c>
      <x:c r="J10" s="3" t="s">
        <x:v>889</x:v>
      </x:c>
      <x:c r="K10" s="4">
        <x:v>5212600</x:v>
      </x:c>
      <x:c r="L10" s="4">
        <x:f t="shared" si="2"/>
        <x:v>521260</x:v>
      </x:c>
      <x:c r="M10" s="5">
        <x:f t="shared" si="0"/>
        <x:v>5733860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1"/>
        <x:v>0</x:v>
      </x:c>
      <x:c r="F12" s="5">
        <x:f t="shared" si="3"/>
        <x:v>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1"/>
        <x:v>0</x:v>
      </x:c>
      <x:c r="F13" s="5">
        <x:f t="shared" si="3"/>
        <x:v>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1"/>
        <x:v>0</x:v>
      </x:c>
      <x:c r="F14" s="5">
        <x:f t="shared" si="3"/>
        <x:v>0</x:v>
      </x:c>
      <x:c r="G14" s="6"/>
      <x:c r="H14" s="299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5">
        <x:f t="shared" si="3"/>
        <x:v>0</x:v>
      </x:c>
      <x:c r="G15" s="6"/>
      <x:c r="H15" s="299"/>
      <x:c r="I15" s="3"/>
      <x:c r="J15" s="3"/>
      <x:c r="K15" s="4"/>
      <x:c r="L15" s="4">
        <x:f t="shared" si="2"/>
        <x:v>0</x:v>
      </x:c>
      <x:c r="M15" s="5">
        <x:f t="shared" si="0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 t="shared" si="1"/>
        <x:v>0</x:v>
      </x:c>
      <x:c r="F16" s="5">
        <x:f t="shared" si="3"/>
        <x:v>0</x:v>
      </x:c>
      <x:c r="G16" s="6"/>
      <x:c r="H16" s="299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299"/>
      <x:c r="B17" s="3"/>
      <x:c r="C17" s="3"/>
      <x:c r="D17" s="4"/>
      <x:c r="E17" s="4">
        <x:f t="shared" si="1"/>
        <x:v>0</x:v>
      </x:c>
      <x:c r="F17" s="5">
        <x:f t="shared" si="3"/>
        <x:v>0</x:v>
      </x:c>
      <x:c r="G17" s="6"/>
      <x:c r="H17" s="299"/>
      <x:c r="I17" s="3"/>
      <x:c r="J17" s="3"/>
      <x:c r="K17" s="4"/>
      <x:c r="L17" s="4">
        <x:f t="shared" si="2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>
        <x:f t="shared" si="1"/>
        <x:v>0</x:v>
      </x:c>
      <x:c r="F18" s="5">
        <x:f t="shared" si="3"/>
        <x:v>0</x:v>
      </x:c>
      <x:c r="G18" s="6"/>
      <x:c r="H18" s="299"/>
      <x:c r="I18" s="3"/>
      <x:c r="J18" s="3"/>
      <x:c r="K18" s="4"/>
      <x:c r="L18" s="4">
        <x:f t="shared" si="2"/>
        <x:v>0</x:v>
      </x:c>
      <x:c r="M18" s="5">
        <x:f t="shared" si="0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/>
      <x:c r="F19" s="5"/>
      <x:c r="G19" s="6"/>
      <x:c r="H19" s="300"/>
      <x:c r="I19" s="3"/>
      <x:c r="J19" s="3"/>
      <x:c r="K19" s="4"/>
      <x:c r="L19" s="4">
        <x:f t="shared" si="2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SUM(D5:D19)</x:f>
        <x:v>8539400</x:v>
      </x:c>
      <x:c r="E20" s="9">
        <x:f>SUM(E5:E19)</x:f>
        <x:v>853940</x:v>
      </x:c>
      <x:c r="F20" s="10">
        <x:f>SUM(F5:F19)</x:f>
        <x:v>9393340</x:v>
      </x:c>
      <x:c r="G20" s="11"/>
      <x:c r="H20" s="7"/>
      <x:c r="I20" s="8"/>
      <x:c r="J20" s="8"/>
      <x:c r="K20" s="9">
        <x:f>SUM(K5:K19)</x:f>
        <x:v>53310072</x:v>
      </x:c>
      <x:c r="L20" s="9">
        <x:f>SUM(L5:L19)</x:f>
        <x:v>5331007.2000000002</x:v>
      </x:c>
      <x:c r="M20" s="10">
        <x:f>SUM(M5:M19)</x:f>
        <x:v>58641079.200000003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/>
      <x:c r="D21" s="44">
        <x:v>15530000</x:v>
      </x:c>
      <x:c r="E21" s="44"/>
      <x:c r="F21" s="45">
        <x:f>+D21+E21</x:f>
        <x:v>15530000</x:v>
      </x:c>
      <x:c r="G21" s="37"/>
      <x:c r="H21" s="301" t="s">
        <x:v>153</x:v>
      </x:c>
      <x:c r="I21" s="3" t="s">
        <x:v>1677</x:v>
      </x:c>
      <x:c r="J21" s="3"/>
      <x:c r="K21" s="4">
        <x:v>41710000</x:v>
      </x:c>
      <x:c r="L21" s="4"/>
      <x:c r="M21" s="5">
        <x:f t="shared" si="0"/>
        <x:v>41710000</x:v>
      </x:c>
      <x:c r="N21" s="6"/>
    </x:row>
    <x:row r="22" spans="1:14" ht="20.100000000000001" customHeight="1">
      <x:c r="A22" s="299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37"/>
      <x:c r="H22" s="299"/>
      <x:c r="I22" s="3"/>
      <x:c r="J22" s="3"/>
      <x:c r="K22" s="4"/>
      <x:c r="L22" s="4"/>
      <x:c r="M22" s="5">
        <x:f t="shared" si="0"/>
        <x:v>0</x:v>
      </x:c>
      <x:c r="N22" s="6"/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/>
      <x:c r="J23" s="3"/>
      <x:c r="K23" s="4"/>
      <x:c r="L23" s="4">
        <x:f t="shared" si="2"/>
        <x:v>0</x:v>
      </x:c>
      <x:c r="M23" s="5">
        <x:f t="shared" si="0"/>
        <x:v>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 t="shared" si="2"/>
        <x:v>0</x:v>
      </x:c>
      <x:c r="M24" s="5">
        <x:f t="shared" si="0"/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15530000</x:v>
      </x:c>
      <x:c r="E25" s="9">
        <x:f>SUM(E21:E24)</x:f>
        <x:v>0</x:v>
      </x:c>
      <x:c r="F25" s="10">
        <x:f>SUM(F21:F24)</x:f>
        <x:v>15530000</x:v>
      </x:c>
      <x:c r="G25" s="11"/>
      <x:c r="H25" s="7"/>
      <x:c r="I25" s="8"/>
      <x:c r="J25" s="8"/>
      <x:c r="K25" s="9">
        <x:f>SUM(K21:K24)</x:f>
        <x:v>41710000</x:v>
      </x:c>
      <x:c r="L25" s="9">
        <x:f>SUM(L21:L24)</x:f>
        <x:v>0</x:v>
      </x:c>
      <x:c r="M25" s="10">
        <x:f>SUM(M21:M24)</x:f>
        <x:v>41710000</x:v>
      </x:c>
      <x:c r="N25" s="11"/>
    </x:row>
    <x:row r="26" spans="1:14" ht="20.100000000000001" customHeight="1">
      <x:c r="A26" s="301" t="s">
        <x:v>187</x:v>
      </x:c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1" t="s">
        <x:v>187</x:v>
      </x:c>
      <x:c r="I26" s="3" t="s">
        <x:v>857</x:v>
      </x:c>
      <x:c r="J26" s="3" t="s">
        <x:v>858</x:v>
      </x:c>
      <x:c r="K26" s="4">
        <x:v>300000</x:v>
      </x:c>
      <x:c r="L26" s="4">
        <x:f>+K26*0.1</x:f>
        <x:v>30000</x:v>
      </x:c>
      <x:c r="M26" s="5">
        <x:f>+K26+L26</x:f>
        <x:v>330000</x:v>
      </x:c>
      <x:c r="N26" s="6"/>
    </x:row>
    <x:row r="27" spans="1:14" ht="20.100000000000001" customHeight="1">
      <x:c r="A27" s="299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299"/>
      <x:c r="I27" s="3" t="s">
        <x:v>1693</x:v>
      </x:c>
      <x:c r="J27" s="3" t="s">
        <x:v>1687</x:v>
      </x:c>
      <x:c r="K27" s="4">
        <x:v>100000</x:v>
      </x:c>
      <x:c r="L27" s="4">
        <x:f>+K27*0.1</x:f>
        <x:v>10000</x:v>
      </x:c>
      <x:c r="M27" s="5">
        <x:f>+K27+L27</x:f>
        <x:v>110000</x:v>
      </x:c>
      <x:c r="N27" s="6"/>
    </x:row>
    <x:row r="28" spans="1:14" ht="20.100000000000001" customHeight="1">
      <x:c r="A28" s="299"/>
      <x:c r="B28" s="3"/>
      <x:c r="C28" s="3"/>
      <x:c r="D28" s="4"/>
      <x:c r="E28" s="4">
        <x:f>+D28*0.1</x:f>
        <x:v>0</x:v>
      </x:c>
      <x:c r="F28" s="5">
        <x:f>+D28+E28</x:f>
        <x:v>0</x:v>
      </x:c>
      <x:c r="G28" s="6"/>
      <x:c r="H28" s="299"/>
      <x:c r="I28" s="3"/>
      <x:c r="J28" s="3"/>
      <x:c r="K28" s="4"/>
      <x:c r="L28" s="4">
        <x:f>+K28*0.1</x:f>
        <x:v>0</x:v>
      </x:c>
      <x:c r="M28" s="5">
        <x:f>+K28+L28</x:f>
        <x:v>0</x:v>
      </x:c>
      <x:c r="N28" s="6"/>
    </x:row>
    <x:row r="29" spans="1:14" ht="20.100000000000001" customHeight="1">
      <x:c r="A29" s="300"/>
      <x:c r="B29" s="3"/>
      <x:c r="C29" s="3"/>
      <x:c r="D29" s="4"/>
      <x:c r="E29" s="4">
        <x:f>+D29*0.1</x:f>
        <x:v>0</x:v>
      </x:c>
      <x:c r="F29" s="5">
        <x:f>+D29+E29</x:f>
        <x:v>0</x:v>
      </x:c>
      <x:c r="G29" s="6"/>
      <x:c r="H29" s="300"/>
      <x:c r="I29" s="3"/>
      <x:c r="J29" s="3"/>
      <x:c r="K29" s="4"/>
      <x:c r="L29" s="4">
        <x:f>+K29*0.1</x:f>
        <x:v>0</x:v>
      </x:c>
      <x:c r="M29" s="5">
        <x:f>+K29+L29</x:f>
        <x:v>0</x:v>
      </x:c>
      <x:c r="N29" s="6"/>
    </x:row>
    <x:row r="30" spans="1:14" ht="20.100000000000001" customHeight="1">
      <x:c r="A30" s="7" t="s">
        <x:v>155</x:v>
      </x:c>
      <x:c r="B30" s="8"/>
      <x:c r="C30" s="8"/>
      <x:c r="D30" s="9">
        <x:f>SUM(D26:D29)</x:f>
        <x:v>0</x:v>
      </x:c>
      <x:c r="E30" s="9">
        <x:f>SUM(E26:E29)</x:f>
        <x:v>0</x:v>
      </x:c>
      <x:c r="F30" s="10">
        <x:f>SUM(F26:F29)</x:f>
        <x:v>0</x:v>
      </x:c>
      <x:c r="G30" s="11"/>
      <x:c r="H30" s="7"/>
      <x:c r="I30" s="8"/>
      <x:c r="J30" s="8"/>
      <x:c r="K30" s="9">
        <x:f>SUM(K26:K29)</x:f>
        <x:v>400000</x:v>
      </x:c>
      <x:c r="L30" s="9">
        <x:f>SUM(L26:L29)</x:f>
        <x:v>40000</x:v>
      </x:c>
      <x:c r="M30" s="10">
        <x:f>SUM(M26:M29)</x:f>
        <x:v>440000</x:v>
      </x:c>
      <x:c r="N30" s="11"/>
    </x:row>
    <x:row r="31" spans="1:14" ht="20.100000000000001" customHeight="1">
      <x:c r="A31" s="301" t="s">
        <x:v>149</x:v>
      </x:c>
      <x:c r="B31" s="3" t="s">
        <x:v>188</x:v>
      </x:c>
      <x:c r="C31" s="3" t="s">
        <x:v>164</x:v>
      </x:c>
      <x:c r="D31" s="4">
        <x:v>1128000</x:v>
      </x:c>
      <x:c r="E31" s="4">
        <x:f>+D31*0.1</x:f>
        <x:v>112800</x:v>
      </x:c>
      <x:c r="F31" s="5">
        <x:f>+D31+E31</x:f>
        <x:v>1240800</x:v>
      </x:c>
      <x:c r="G31" s="6"/>
      <x:c r="H31" s="301" t="s">
        <x:v>149</x:v>
      </x:c>
      <x:c r="I31" s="3" t="s">
        <x:v>820</x:v>
      </x:c>
      <x:c r="J31" s="3" t="s">
        <x:v>42</x:v>
      </x:c>
      <x:c r="K31" s="4">
        <x:v>2057000</x:v>
      </x:c>
      <x:c r="L31" s="4">
        <x:f>+K31*0.1</x:f>
        <x:v>205700</x:v>
      </x:c>
      <x:c r="M31" s="5">
        <x:f t="shared" ref="M31:M40" si="4">+K31+L31</x:f>
        <x:v>2262700</x:v>
      </x:c>
      <x:c r="N31" s="6"/>
    </x:row>
    <x:row r="32" spans="1:14" ht="20.100000000000001" customHeight="1">
      <x:c r="A32" s="299"/>
      <x:c r="B32" s="3" t="s">
        <x:v>1713</x:v>
      </x:c>
      <x:c r="C32" s="3" t="s">
        <x:v>904</x:v>
      </x:c>
      <x:c r="D32" s="4">
        <x:v>550000</x:v>
      </x:c>
      <x:c r="E32" s="4"/>
      <x:c r="F32" s="5">
        <x:f>+D32+E32</x:f>
        <x:v>550000</x:v>
      </x:c>
      <x:c r="G32" s="6"/>
      <x:c r="H32" s="299"/>
      <x:c r="I32" s="3" t="s">
        <x:v>1680</x:v>
      </x:c>
      <x:c r="J32" s="3" t="s">
        <x:v>1695</x:v>
      </x:c>
      <x:c r="K32" s="4">
        <x:v>130000</x:v>
      </x:c>
      <x:c r="L32" s="4">
        <x:f>+K32*0.1</x:f>
        <x:v>13000</x:v>
      </x:c>
      <x:c r="M32" s="5">
        <x:f t="shared" si="4"/>
        <x:v>143000</x:v>
      </x:c>
      <x:c r="N32" s="6"/>
    </x:row>
    <x:row r="33" spans="1:14" ht="20.100000000000001" customHeight="1">
      <x:c r="A33" s="299"/>
      <x:c r="B33" s="3" t="s">
        <x:v>1699</x:v>
      </x:c>
      <x:c r="C33" s="3" t="s">
        <x:v>167</x:v>
      </x:c>
      <x:c r="D33" s="4">
        <x:v>50000</x:v>
      </x:c>
      <x:c r="E33" s="4">
        <x:f>+D33*0.1</x:f>
        <x:v>5000</x:v>
      </x:c>
      <x:c r="F33" s="5">
        <x:f>+D33+E33</x:f>
        <x:v>55000</x:v>
      </x:c>
      <x:c r="G33" s="6"/>
      <x:c r="H33" s="299"/>
      <x:c r="I33" s="3" t="s">
        <x:v>169</x:v>
      </x:c>
      <x:c r="J33" s="3" t="s">
        <x:v>149</x:v>
      </x:c>
      <x:c r="K33" s="4">
        <x:v>1664650</x:v>
      </x:c>
      <x:c r="L33" s="4">
        <x:v>7000</x:v>
      </x:c>
      <x:c r="M33" s="5">
        <x:f t="shared" si="4"/>
        <x:v>1671650</x:v>
      </x:c>
      <x:c r="N33" s="6"/>
    </x:row>
    <x:row r="34" spans="1:14" ht="20.100000000000001" customHeight="1">
      <x:c r="A34" s="299"/>
      <x:c r="B34" s="3" t="s">
        <x:v>162</x:v>
      </x:c>
      <x:c r="C34" s="3" t="s">
        <x:v>837</x:v>
      </x:c>
      <x:c r="D34" s="4">
        <x:f>250900+1227540</x:f>
        <x:v>1478440</x:v>
      </x:c>
      <x:c r="E34" s="4"/>
      <x:c r="F34" s="5">
        <x:f>+D34+E34</x:f>
        <x:v>1478440</x:v>
      </x:c>
      <x:c r="G34" s="6"/>
      <x:c r="H34" s="299"/>
      <x:c r="I34" s="3" t="s">
        <x:v>1713</x:v>
      </x:c>
      <x:c r="J34" s="3" t="s">
        <x:v>897</x:v>
      </x:c>
      <x:c r="K34" s="4">
        <x:v>500000</x:v>
      </x:c>
      <x:c r="L34" s="4"/>
      <x:c r="M34" s="5"/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ref="F35:F40" si="5">+D35+E35</x:f>
        <x:v>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299"/>
      <x:c r="B37" s="3"/>
      <x:c r="C37" s="3"/>
      <x:c r="D37" s="4"/>
      <x:c r="E37" s="4"/>
      <x:c r="F37" s="5">
        <x:f t="shared" si="5"/>
        <x:v>0</x:v>
      </x:c>
      <x:c r="G37" s="6"/>
      <x:c r="H37" s="299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299"/>
      <x:c r="B38" s="3"/>
      <x:c r="C38" s="3"/>
      <x:c r="D38" s="4"/>
      <x:c r="E38" s="4"/>
      <x:c r="F38" s="5">
        <x:f t="shared" si="5"/>
        <x:v>0</x:v>
      </x:c>
      <x:c r="G38" s="6"/>
      <x:c r="H38" s="299"/>
      <x:c r="I38" s="3"/>
      <x:c r="J38" s="3"/>
      <x:c r="K38" s="4"/>
      <x:c r="L38" s="4"/>
      <x:c r="M38" s="5">
        <x:f t="shared" si="4"/>
        <x:v>0</x:v>
      </x:c>
      <x:c r="N38" s="6"/>
    </x:row>
    <x:row r="39" spans="1:14" ht="20.100000000000001" customHeight="1">
      <x:c r="A39" s="299"/>
      <x:c r="B39" s="3"/>
      <x:c r="C39" s="3"/>
      <x:c r="D39" s="4"/>
      <x:c r="E39" s="4"/>
      <x:c r="F39" s="5">
        <x:f t="shared" si="5"/>
        <x:v>0</x:v>
      </x:c>
      <x:c r="G39" s="6"/>
      <x:c r="H39" s="299"/>
      <x:c r="I39" s="3"/>
      <x:c r="J39" s="3"/>
      <x:c r="K39" s="4"/>
      <x:c r="L39" s="4"/>
      <x:c r="M39" s="5">
        <x:f t="shared" si="4"/>
        <x:v>0</x:v>
      </x:c>
      <x:c r="N39" s="6"/>
    </x:row>
    <x:row r="40" spans="1:14" ht="20.100000000000001" customHeight="1">
      <x:c r="A40" s="300"/>
      <x:c r="B40" s="3"/>
      <x:c r="C40" s="3"/>
      <x:c r="D40" s="4"/>
      <x:c r="E40" s="4"/>
      <x:c r="F40" s="5">
        <x:f t="shared" si="5"/>
        <x:v>0</x:v>
      </x:c>
      <x:c r="G40" s="6"/>
      <x:c r="H40" s="300"/>
      <x:c r="I40" s="3"/>
      <x:c r="J40" s="3"/>
      <x:c r="K40" s="4"/>
      <x:c r="L40" s="4"/>
      <x:c r="M40" s="5">
        <x:f t="shared" si="4"/>
        <x:v>0</x:v>
      </x:c>
      <x:c r="N40" s="6"/>
    </x:row>
    <x:row r="41" spans="1:14" ht="20.100000000000001" customHeight="1">
      <x:c r="A41" s="7" t="s">
        <x:v>155</x:v>
      </x:c>
      <x:c r="B41" s="8"/>
      <x:c r="C41" s="8"/>
      <x:c r="D41" s="9">
        <x:f>SUM(D31:D40)</x:f>
        <x:v>3206440</x:v>
      </x:c>
      <x:c r="E41" s="9">
        <x:f>SUM(E31:E40)</x:f>
        <x:v>117800</x:v>
      </x:c>
      <x:c r="F41" s="10">
        <x:f>SUM(F31:F40)</x:f>
        <x:v>3324240</x:v>
      </x:c>
      <x:c r="G41" s="11"/>
      <x:c r="H41" s="7"/>
      <x:c r="I41" s="8"/>
      <x:c r="J41" s="8"/>
      <x:c r="K41" s="9">
        <x:f>SUM(K31:K40)</x:f>
        <x:v>4351650</x:v>
      </x:c>
      <x:c r="L41" s="9">
        <x:f>SUM(L31:L40)</x:f>
        <x:v>225700</x:v>
      </x:c>
      <x:c r="M41" s="10">
        <x:f>SUM(M31:M40)</x:f>
        <x:v>4077350</x:v>
      </x:c>
      <x:c r="N41" s="11"/>
    </x:row>
    <x:row r="42" spans="1:14" ht="20.100000000000001" customHeight="1">
      <x:c r="A42" s="12" t="s">
        <x:v>1690</x:v>
      </x:c>
      <x:c r="B42" s="13"/>
      <x:c r="C42" s="13"/>
      <x:c r="D42" s="14">
        <x:f>+D20+D25+D30+D41</x:f>
        <x:v>27275840</x:v>
      </x:c>
      <x:c r="E42" s="14">
        <x:f>+E20+E25+E30+E41</x:f>
        <x:v>971740</x:v>
      </x:c>
      <x:c r="F42" s="15">
        <x:f>+F20+F25+F30+F41</x:f>
        <x:v>28247580</x:v>
      </x:c>
      <x:c r="G42" s="16"/>
      <x:c r="H42" s="12"/>
      <x:c r="I42" s="13"/>
      <x:c r="J42" s="13"/>
      <x:c r="K42" s="14">
        <x:f>+K20+K25+K30+K41</x:f>
        <x:v>99771722</x:v>
      </x:c>
      <x:c r="L42" s="14">
        <x:f>+L20+L25+L30+L41</x:f>
        <x:v>5596707.2000000002</x:v>
      </x:c>
      <x:c r="M42" s="15">
        <x:f>+M20+M25+M30+M41</x:f>
        <x:v>104868429.2</x:v>
      </x:c>
      <x:c r="N42" s="16"/>
    </x:row>
    <x:row r="43" spans="1:14" ht="20.100000000000001" customHeight="1">
      <x:c r="A43" s="23" t="s">
        <x:v>35</x:v>
      </x:c>
      <x:c r="B43" s="24"/>
      <x:c r="C43" s="24"/>
      <x:c r="D43" s="25">
        <x:f>+D4-D42</x:f>
        <x:v>-2775840</x:v>
      </x:c>
      <x:c r="E43" s="25">
        <x:f>+E4-E42</x:f>
        <x:v>1478260</x:v>
      </x:c>
      <x:c r="F43" s="26">
        <x:f>+F4-F42</x:f>
        <x:v>-1297580</x:v>
      </x:c>
      <x:c r="G43" s="27"/>
      <x:c r="H43" s="23"/>
      <x:c r="I43" s="24"/>
      <x:c r="J43" s="24"/>
      <x:c r="K43" s="25">
        <x:f>+K4-K42</x:f>
        <x:v>-48411722</x:v>
      </x:c>
      <x:c r="L43" s="25">
        <x:f>+L4-L42</x:f>
        <x:v>-2956707.2000000002</x:v>
      </x:c>
      <x:c r="M43" s="26">
        <x:f>+M4-M42</x:f>
        <x:v>-50868429.200000003</x:v>
      </x:c>
      <x:c r="N43" s="27"/>
    </x:row>
    <x:row r="44" spans="1:14" ht="20.100000000000001" customHeight="1">
      <x:c r="A44" s="296" t="s">
        <x:v>871</x:v>
      </x:c>
      <x:c r="B44" s="297"/>
      <x:c r="C44" s="297"/>
      <x:c r="D44" s="297"/>
      <x:c r="E44" s="297"/>
      <x:c r="F44" s="297"/>
      <x:c r="G44" s="297"/>
      <x:c r="H44" s="302" t="s">
        <x:v>58</x:v>
      </x:c>
      <x:c r="I44" s="303"/>
      <x:c r="J44" s="303"/>
      <x:c r="K44" s="303"/>
      <x:c r="L44" s="303"/>
      <x:c r="M44" s="304"/>
      <x:c r="N44" s="305"/>
    </x:row>
    <x:row r="45" spans="1:14" ht="20.100000000000001" customHeight="1">
      <x:c r="A45" s="29" t="s">
        <x:v>147</x:v>
      </x:c>
      <x:c r="B45" s="30" t="s">
        <x:v>144</x:v>
      </x:c>
      <x:c r="C45" s="30" t="s">
        <x:v>150</x:v>
      </x:c>
      <x:c r="D45" s="31" t="s">
        <x:v>145</x:v>
      </x:c>
      <x:c r="E45" s="31" t="s">
        <x:v>152</x:v>
      </x:c>
      <x:c r="F45" s="32" t="s">
        <x:v>146</x:v>
      </x:c>
      <x:c r="G45" s="33" t="s">
        <x:v>154</x:v>
      </x:c>
      <x:c r="H45" s="29" t="s">
        <x:v>147</x:v>
      </x:c>
      <x:c r="I45" s="30" t="s">
        <x:v>144</x:v>
      </x:c>
      <x:c r="J45" s="30" t="s">
        <x:v>150</x:v>
      </x:c>
      <x:c r="K45" s="31" t="s">
        <x:v>145</x:v>
      </x:c>
      <x:c r="L45" s="31" t="s">
        <x:v>152</x:v>
      </x:c>
      <x:c r="M45" s="31" t="s">
        <x:v>146</x:v>
      </x:c>
      <x:c r="N45" s="34" t="s">
        <x:v>154</x:v>
      </x:c>
    </x:row>
    <x:row r="46" spans="1:14" ht="20.100000000000001" customHeight="1">
      <x:c r="A46" s="49" t="s">
        <x:v>151</x:v>
      </x:c>
      <x:c r="B46" s="38" t="s">
        <x:v>1679</x:v>
      </x:c>
      <x:c r="C46" s="38" t="s">
        <x:v>56</x:v>
      </x:c>
      <x:c r="D46" s="39"/>
      <x:c r="E46" s="39">
        <x:f>+D46*0.1</x:f>
        <x:v>0</x:v>
      </x:c>
      <x:c r="F46" s="40">
        <x:f>+D46+E46</x:f>
        <x:v>0</x:v>
      </x:c>
      <x:c r="G46" s="18"/>
      <x:c r="H46" s="41" t="s">
        <x:v>151</x:v>
      </x:c>
      <x:c r="I46" s="38" t="s">
        <x:v>1679</x:v>
      </x:c>
      <x:c r="J46" s="38" t="s">
        <x:v>1678</x:v>
      </x:c>
      <x:c r="K46" s="39"/>
      <x:c r="L46" s="39"/>
      <x:c r="M46" s="40">
        <x:f>+K46+L46</x:f>
        <x:v>0</x:v>
      </x:c>
      <x:c r="N46" s="42"/>
    </x:row>
    <x:row r="47" spans="1:14" ht="20.100000000000001" customHeight="1">
      <x:c r="A47" s="298" t="s">
        <x:v>148</x:v>
      </x:c>
      <x:c r="B47" s="19" t="s">
        <x:v>892</x:v>
      </x:c>
      <x:c r="C47" s="19" t="s">
        <x:v>894</x:v>
      </x:c>
      <x:c r="D47" s="20">
        <x:v>450700</x:v>
      </x:c>
      <x:c r="E47" s="20">
        <x:f>+INT(D47*0.1)</x:f>
        <x:v>45070</x:v>
      </x:c>
      <x:c r="F47" s="21">
        <x:f>+D47+E47</x:f>
        <x:v>495770</x:v>
      </x:c>
      <x:c r="G47" s="22"/>
      <x:c r="H47" s="298" t="s">
        <x:v>148</x:v>
      </x:c>
      <x:c r="I47" s="19" t="s">
        <x:v>838</x:v>
      </x:c>
      <x:c r="J47" s="19" t="s">
        <x:v>15</x:v>
      </x:c>
      <x:c r="K47" s="20">
        <x:v>104000</x:v>
      </x:c>
      <x:c r="L47" s="20">
        <x:f>+K47*0.1</x:f>
        <x:v>10400</x:v>
      </x:c>
      <x:c r="M47" s="21">
        <x:f t="shared" ref="M47:M61" si="6">+K47+L47</x:f>
        <x:v>114400</x:v>
      </x:c>
      <x:c r="N47" s="22"/>
    </x:row>
    <x:row r="48" spans="1:14" ht="20.100000000000001" customHeight="1">
      <x:c r="A48" s="299"/>
      <x:c r="B48" s="3" t="s">
        <x:v>907</x:v>
      </x:c>
      <x:c r="C48" s="3" t="s">
        <x:v>899</x:v>
      </x:c>
      <x:c r="D48" s="4">
        <x:v>22000</x:v>
      </x:c>
      <x:c r="E48" s="4">
        <x:f t="shared" ref="E48:E60" si="7">+INT(D48*0.1)</x:f>
        <x:v>2200</x:v>
      </x:c>
      <x:c r="F48" s="5">
        <x:f>+D48+E48</x:f>
        <x:v>24200</x:v>
      </x:c>
      <x:c r="G48" s="6"/>
      <x:c r="H48" s="299"/>
      <x:c r="I48" s="3" t="s">
        <x:v>34</x:v>
      </x:c>
      <x:c r="J48" s="3" t="s">
        <x:v>16</x:v>
      </x:c>
      <x:c r="K48" s="4">
        <x:v>126300</x:v>
      </x:c>
      <x:c r="L48" s="4">
        <x:f>+K48*0.1</x:f>
        <x:v>12630</x:v>
      </x:c>
      <x:c r="M48" s="5">
        <x:f t="shared" si="6"/>
        <x:v>138930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7"/>
        <x:v>0</x:v>
      </x:c>
      <x:c r="F49" s="5">
        <x:f>+D49+E49</x:f>
        <x:v>0</x:v>
      </x:c>
      <x:c r="G49" s="6"/>
      <x:c r="H49" s="299"/>
      <x:c r="I49" s="3" t="s">
        <x:v>846</x:v>
      </x:c>
      <x:c r="J49" s="3" t="s">
        <x:v>900</x:v>
      </x:c>
      <x:c r="K49" s="4">
        <x:v>2504300</x:v>
      </x:c>
      <x:c r="L49" s="4">
        <x:f t="shared" ref="L49:L61" si="8">+K49*0.1</x:f>
        <x:v>250430</x:v>
      </x:c>
      <x:c r="M49" s="5">
        <x:f t="shared" si="6"/>
        <x:v>2754730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7"/>
        <x:v>0</x:v>
      </x:c>
      <x:c r="F50" s="5">
        <x:f t="shared" ref="F50:F60" si="9">+D50+E50</x:f>
        <x:v>0</x:v>
      </x:c>
      <x:c r="G50" s="6"/>
      <x:c r="H50" s="299"/>
      <x:c r="I50" s="3"/>
      <x:c r="J50" s="3"/>
      <x:c r="K50" s="4"/>
      <x:c r="L50" s="4">
        <x:f t="shared" si="8"/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7"/>
        <x:v>0</x:v>
      </x:c>
      <x:c r="F51" s="5">
        <x:f t="shared" si="9"/>
        <x:v>0</x:v>
      </x:c>
      <x:c r="G51" s="6"/>
      <x:c r="H51" s="299"/>
      <x:c r="I51" s="3"/>
      <x:c r="J51" s="3"/>
      <x:c r="K51" s="4"/>
      <x:c r="L51" s="4">
        <x:f t="shared" si="8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7"/>
        <x:v>0</x:v>
      </x:c>
      <x:c r="F52" s="5">
        <x:f t="shared" si="9"/>
        <x:v>0</x:v>
      </x:c>
      <x:c r="G52" s="6"/>
      <x:c r="H52" s="299"/>
      <x:c r="I52" s="3"/>
      <x:c r="J52" s="3"/>
      <x:c r="K52" s="4"/>
      <x:c r="L52" s="4">
        <x:f t="shared" si="8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7"/>
        <x:v>0</x:v>
      </x:c>
      <x:c r="F53" s="5">
        <x:f t="shared" si="9"/>
        <x:v>0</x:v>
      </x:c>
      <x:c r="G53" s="6"/>
      <x:c r="H53" s="299"/>
      <x:c r="I53" s="3"/>
      <x:c r="J53" s="3"/>
      <x:c r="K53" s="4"/>
      <x:c r="L53" s="4">
        <x:f t="shared" si="8"/>
        <x:v>0</x:v>
      </x:c>
      <x:c r="M53" s="5">
        <x:f t="shared" si="6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7"/>
        <x:v>0</x:v>
      </x:c>
      <x:c r="F54" s="5">
        <x:f t="shared" si="9"/>
        <x:v>0</x:v>
      </x:c>
      <x:c r="G54" s="6"/>
      <x:c r="H54" s="299"/>
      <x:c r="I54" s="3"/>
      <x:c r="J54" s="3"/>
      <x:c r="K54" s="4"/>
      <x:c r="L54" s="4">
        <x:f t="shared" si="8"/>
        <x:v>0</x:v>
      </x:c>
      <x:c r="M54" s="5">
        <x:f t="shared" si="6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7"/>
        <x:v>0</x:v>
      </x:c>
      <x:c r="F55" s="5">
        <x:f t="shared" si="9"/>
        <x:v>0</x:v>
      </x:c>
      <x:c r="G55" s="6"/>
      <x:c r="H55" s="299"/>
      <x:c r="I55" s="3"/>
      <x:c r="J55" s="3"/>
      <x:c r="K55" s="4"/>
      <x:c r="L55" s="4">
        <x:f t="shared" si="8"/>
        <x:v>0</x:v>
      </x:c>
      <x:c r="M55" s="5">
        <x:f t="shared" si="6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7"/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 t="shared" si="8"/>
        <x:v>0</x:v>
      </x:c>
      <x:c r="M56" s="5">
        <x:f t="shared" si="6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7"/>
        <x:v>0</x:v>
      </x:c>
      <x:c r="F57" s="5">
        <x:f t="shared" si="9"/>
        <x:v>0</x:v>
      </x:c>
      <x:c r="G57" s="6"/>
      <x:c r="H57" s="299"/>
      <x:c r="I57" s="3"/>
      <x:c r="J57" s="3"/>
      <x:c r="K57" s="4"/>
      <x:c r="L57" s="4">
        <x:f t="shared" si="8"/>
        <x:v>0</x:v>
      </x:c>
      <x:c r="M57" s="5">
        <x:f t="shared" si="6"/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 t="shared" si="7"/>
        <x:v>0</x:v>
      </x:c>
      <x:c r="F58" s="5">
        <x:f t="shared" si="9"/>
        <x:v>0</x:v>
      </x:c>
      <x:c r="G58" s="6"/>
      <x:c r="H58" s="299"/>
      <x:c r="I58" s="3"/>
      <x:c r="J58" s="3"/>
      <x:c r="K58" s="4"/>
      <x:c r="L58" s="4">
        <x:f t="shared" si="8"/>
        <x:v>0</x:v>
      </x:c>
      <x:c r="M58" s="5">
        <x:f t="shared" si="6"/>
        <x:v>0</x:v>
      </x:c>
      <x:c r="N58" s="6"/>
    </x:row>
    <x:row r="59" spans="1:14" ht="20.100000000000001" customHeight="1">
      <x:c r="A59" s="299"/>
      <x:c r="B59" s="3"/>
      <x:c r="C59" s="3"/>
      <x:c r="D59" s="4"/>
      <x:c r="E59" s="4">
        <x:f t="shared" si="7"/>
        <x:v>0</x:v>
      </x:c>
      <x:c r="F59" s="5">
        <x:f t="shared" si="9"/>
        <x:v>0</x:v>
      </x:c>
      <x:c r="G59" s="6"/>
      <x:c r="H59" s="299"/>
      <x:c r="I59" s="3"/>
      <x:c r="J59" s="3"/>
      <x:c r="K59" s="4"/>
      <x:c r="L59" s="4">
        <x:f t="shared" si="8"/>
        <x:v>0</x:v>
      </x:c>
      <x:c r="M59" s="5">
        <x:f t="shared" si="6"/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 t="shared" si="7"/>
        <x:v>0</x:v>
      </x:c>
      <x:c r="F60" s="5">
        <x:f t="shared" si="9"/>
        <x:v>0</x:v>
      </x:c>
      <x:c r="G60" s="6"/>
      <x:c r="H60" s="299"/>
      <x:c r="I60" s="3"/>
      <x:c r="J60" s="3"/>
      <x:c r="K60" s="4"/>
      <x:c r="L60" s="4">
        <x:f t="shared" si="8"/>
        <x:v>0</x:v>
      </x:c>
      <x:c r="M60" s="5">
        <x:f t="shared" si="6"/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/>
      <x:c r="F61" s="5"/>
      <x:c r="G61" s="6"/>
      <x:c r="H61" s="300"/>
      <x:c r="I61" s="3"/>
      <x:c r="J61" s="3"/>
      <x:c r="K61" s="4"/>
      <x:c r="L61" s="4">
        <x:f t="shared" si="8"/>
        <x:v>0</x:v>
      </x:c>
      <x:c r="M61" s="5">
        <x:f t="shared" si="6"/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SUM(D47:D61)</x:f>
        <x:v>472700</x:v>
      </x:c>
      <x:c r="E62" s="9">
        <x:f>SUM(E47:E61)</x:f>
        <x:v>47270</x:v>
      </x:c>
      <x:c r="F62" s="10">
        <x:f>SUM(F47:F61)</x:f>
        <x:v>519970</x:v>
      </x:c>
      <x:c r="G62" s="11"/>
      <x:c r="H62" s="7"/>
      <x:c r="I62" s="8"/>
      <x:c r="J62" s="8"/>
      <x:c r="K62" s="9">
        <x:f>SUM(K47:K61)</x:f>
        <x:v>2734600</x:v>
      </x:c>
      <x:c r="L62" s="9">
        <x:f>SUM(L47:L61)</x:f>
        <x:v>273460</x:v>
      </x:c>
      <x:c r="M62" s="10">
        <x:f>SUM(M47:M61)</x:f>
        <x:v>3008060</x:v>
      </x:c>
      <x:c r="N62" s="11"/>
    </x:row>
    <x:row r="63" spans="1:14" ht="20.100000000000001" customHeight="1">
      <x:c r="A63" s="301" t="s">
        <x:v>153</x:v>
      </x:c>
      <x:c r="B63" s="3" t="s">
        <x:v>1677</x:v>
      </x:c>
      <x:c r="C63" s="3"/>
      <x:c r="D63" s="44"/>
      <x:c r="E63" s="44">
        <x:f>+D63*0.1</x:f>
        <x:v>0</x:v>
      </x:c>
      <x:c r="F63" s="45">
        <x:f>+D63+E63</x:f>
        <x:v>0</x:v>
      </x:c>
      <x:c r="G63" s="37"/>
      <x:c r="H63" s="301" t="s">
        <x:v>153</x:v>
      </x:c>
      <x:c r="I63" s="3" t="s">
        <x:v>1677</x:v>
      </x:c>
      <x:c r="J63" s="3"/>
      <x:c r="K63" s="4">
        <x:v>4200000</x:v>
      </x:c>
      <x:c r="L63" s="4"/>
      <x:c r="M63" s="5">
        <x:f>+K63+L63</x:f>
        <x:v>4200000</x:v>
      </x:c>
      <x:c r="N63" s="6"/>
    </x:row>
    <x:row r="64" spans="1:14" ht="20.100000000000001" customHeight="1">
      <x:c r="A64" s="299"/>
      <x:c r="B64" s="3"/>
      <x:c r="C64" s="3"/>
      <x:c r="D64" s="44"/>
      <x:c r="E64" s="44">
        <x:f>+D64*0.1</x:f>
        <x:v>0</x:v>
      </x:c>
      <x:c r="F64" s="45">
        <x:f>+D64+E64</x:f>
        <x:v>0</x:v>
      </x:c>
      <x:c r="G64" s="37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0</x:v>
      </x:c>
      <x:c r="E67" s="9">
        <x:f>SUM(E63:E66)</x:f>
        <x:v>0</x:v>
      </x:c>
      <x:c r="F67" s="10">
        <x:f>SUM(F63:F66)</x:f>
        <x:v>0</x:v>
      </x:c>
      <x:c r="G67" s="11"/>
      <x:c r="H67" s="7"/>
      <x:c r="I67" s="8"/>
      <x:c r="J67" s="8"/>
      <x:c r="K67" s="9">
        <x:f>SUM(K63:K66)</x:f>
        <x:v>4200000</x:v>
      </x:c>
      <x:c r="L67" s="9">
        <x:f>SUM(L63:L66)</x:f>
        <x:v>0</x:v>
      </x:c>
      <x:c r="M67" s="10">
        <x:f>SUM(M63:M66)</x:f>
        <x:v>4200000</x:v>
      </x:c>
      <x:c r="N67" s="11"/>
    </x:row>
    <x:row r="68" spans="1:14" ht="20.100000000000001" customHeight="1">
      <x:c r="A68" s="301" t="s">
        <x:v>187</x:v>
      </x:c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1" t="s">
        <x:v>187</x:v>
      </x:c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299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</x:row>
    <x:row r="71" spans="1:14" ht="20.100000000000001" customHeight="1">
      <x:c r="A71" s="300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300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</x:row>
    <x:row r="72" spans="1:14" ht="20.100000000000001" customHeight="1">
      <x:c r="A72" s="7" t="s">
        <x:v>155</x:v>
      </x:c>
      <x:c r="B72" s="8"/>
      <x:c r="C72" s="8"/>
      <x:c r="D72" s="9">
        <x:f>SUM(D68:D71)</x:f>
        <x:v>0</x:v>
      </x:c>
      <x:c r="E72" s="9">
        <x:f>SUM(E68:E71)</x:f>
        <x:v>0</x:v>
      </x:c>
      <x:c r="F72" s="10">
        <x:f>SUM(F68:F71)</x:f>
        <x:v>0</x:v>
      </x:c>
      <x:c r="G72" s="11"/>
      <x:c r="H72" s="7"/>
      <x:c r="I72" s="8"/>
      <x:c r="J72" s="8"/>
      <x:c r="K72" s="9">
        <x:f>SUM(K68:K71)</x:f>
        <x:v>0</x:v>
      </x:c>
      <x:c r="L72" s="9">
        <x:f>SUM(L68:L71)</x:f>
        <x:v>0</x:v>
      </x:c>
      <x:c r="M72" s="10">
        <x:f>SUM(M68:M71)</x:f>
        <x:v>0</x:v>
      </x:c>
      <x:c r="N72" s="11"/>
    </x:row>
    <x:row r="73" spans="1:14" ht="20.100000000000001" customHeight="1">
      <x:c r="A73" s="301" t="s">
        <x:v>149</x:v>
      </x:c>
      <x:c r="B73" s="3" t="s">
        <x:v>172</x:v>
      </x:c>
      <x:c r="C73" s="3" t="s">
        <x:v>66</x:v>
      </x:c>
      <x:c r="D73" s="4">
        <x:v>450000</x:v>
      </x:c>
      <x:c r="E73" s="4"/>
      <x:c r="F73" s="5">
        <x:f>+D73+E73</x:f>
        <x:v>450000</x:v>
      </x:c>
      <x:c r="G73" s="6"/>
      <x:c r="H73" s="301" t="s">
        <x:v>149</x:v>
      </x:c>
      <x:c r="I73" s="3" t="s">
        <x:v>177</x:v>
      </x:c>
      <x:c r="J73" s="3" t="s">
        <x:v>837</x:v>
      </x:c>
      <x:c r="K73" s="4">
        <x:v>260490</x:v>
      </x:c>
      <x:c r="L73" s="4"/>
      <x:c r="M73" s="5">
        <x:f t="shared" ref="M73:M80" si="10">+K73+L73</x:f>
        <x:v>260490</x:v>
      </x:c>
      <x:c r="N73" s="6"/>
    </x:row>
    <x:row r="74" spans="1:14" ht="20.100000000000001" customHeight="1">
      <x:c r="A74" s="299"/>
      <x:c r="B74" s="3" t="s">
        <x:v>169</x:v>
      </x:c>
      <x:c r="C74" s="3" t="s">
        <x:v>149</x:v>
      </x:c>
      <x:c r="D74" s="4">
        <x:v>135500</x:v>
      </x:c>
      <x:c r="E74" s="4"/>
      <x:c r="F74" s="5">
        <x:f>+D74+E74</x:f>
        <x:v>135500</x:v>
      </x:c>
      <x:c r="G74" s="6"/>
      <x:c r="H74" s="299"/>
      <x:c r="I74" s="3" t="s">
        <x:v>883</x:v>
      </x:c>
      <x:c r="J74" s="3" t="s">
        <x:v>896</x:v>
      </x:c>
      <x:c r="K74" s="4"/>
      <x:c r="L74" s="4">
        <x:f t="shared" ref="L74:L80" si="11">+K74*0.1</x:f>
        <x:v>0</x:v>
      </x:c>
      <x:c r="M74" s="5">
        <x:f t="shared" si="10"/>
        <x:v>0</x:v>
      </x:c>
      <x:c r="N74" s="6"/>
    </x:row>
    <x:row r="75" spans="1:14" ht="20.100000000000001" customHeight="1">
      <x:c r="A75" s="299"/>
      <x:c r="B75" s="3" t="s">
        <x:v>908</x:v>
      </x:c>
      <x:c r="C75" s="3" t="s">
        <x:v>915</x:v>
      </x:c>
      <x:c r="D75" s="4">
        <x:v>370000</x:v>
      </x:c>
      <x:c r="E75" s="4"/>
      <x:c r="F75" s="5">
        <x:f>+D75+E75</x:f>
        <x:v>370000</x:v>
      </x:c>
      <x:c r="G75" s="6"/>
      <x:c r="H75" s="299"/>
      <x:c r="I75" s="3"/>
      <x:c r="J75" s="3"/>
      <x:c r="K75" s="4"/>
      <x:c r="L75" s="4">
        <x:f t="shared" si="11"/>
        <x:v>0</x:v>
      </x:c>
      <x:c r="M75" s="5">
        <x:f t="shared" si="10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ref="F76:F82" si="12">+D76+E76</x:f>
        <x:v>0</x:v>
      </x:c>
      <x:c r="G76" s="6"/>
      <x:c r="H76" s="299"/>
      <x:c r="I76" s="3"/>
      <x:c r="J76" s="3"/>
      <x:c r="K76" s="4"/>
      <x:c r="L76" s="4">
        <x:f t="shared" si="11"/>
        <x:v>0</x:v>
      </x:c>
      <x:c r="M76" s="5">
        <x:f t="shared" si="10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 t="shared" si="11"/>
        <x:v>0</x:v>
      </x:c>
      <x:c r="M77" s="5">
        <x:f t="shared" si="10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>
        <x:f t="shared" si="11"/>
        <x:v>0</x:v>
      </x:c>
      <x:c r="M78" s="5">
        <x:f t="shared" si="10"/>
        <x:v>0</x:v>
      </x:c>
      <x:c r="N78" s="6"/>
    </x:row>
    <x:row r="79" spans="1:14" ht="20.100000000000001" customHeight="1">
      <x:c r="A79" s="299"/>
      <x:c r="B79" s="3"/>
      <x:c r="C79" s="3"/>
      <x:c r="D79" s="4"/>
      <x:c r="E79" s="4"/>
      <x:c r="F79" s="5">
        <x:f t="shared" si="12"/>
        <x:v>0</x:v>
      </x:c>
      <x:c r="G79" s="6"/>
      <x:c r="H79" s="299"/>
      <x:c r="I79" s="3"/>
      <x:c r="J79" s="3"/>
      <x:c r="K79" s="4"/>
      <x:c r="L79" s="4">
        <x:f t="shared" si="11"/>
        <x:v>0</x:v>
      </x:c>
      <x:c r="M79" s="5">
        <x:f t="shared" si="10"/>
        <x:v>0</x:v>
      </x:c>
      <x:c r="N79" s="6"/>
    </x:row>
    <x:row r="80" spans="1:14" ht="20.100000000000001" customHeight="1">
      <x:c r="A80" s="299"/>
      <x:c r="B80" s="3"/>
      <x:c r="C80" s="3"/>
      <x:c r="D80" s="4"/>
      <x:c r="E80" s="4"/>
      <x:c r="F80" s="5">
        <x:f t="shared" si="12"/>
        <x:v>0</x:v>
      </x:c>
      <x:c r="G80" s="6"/>
      <x:c r="H80" s="299"/>
      <x:c r="I80" s="3"/>
      <x:c r="J80" s="3"/>
      <x:c r="K80" s="4"/>
      <x:c r="L80" s="4">
        <x:f t="shared" si="11"/>
        <x:v>0</x:v>
      </x:c>
      <x:c r="M80" s="5">
        <x:f t="shared" si="10"/>
        <x:v>0</x:v>
      </x:c>
      <x:c r="N80" s="6"/>
    </x:row>
    <x:row r="81" spans="1:14" ht="20.100000000000001" customHeight="1">
      <x:c r="A81" s="299"/>
      <x:c r="B81" s="3"/>
      <x:c r="C81" s="3"/>
      <x:c r="D81" s="4"/>
      <x:c r="E81" s="4"/>
      <x:c r="F81" s="5">
        <x:f t="shared" si="12"/>
        <x:v>0</x:v>
      </x:c>
      <x:c r="G81" s="6"/>
      <x:c r="H81" s="299"/>
      <x:c r="I81" s="3"/>
      <x:c r="J81" s="3"/>
      <x:c r="K81" s="4"/>
      <x:c r="L81" s="4"/>
      <x:c r="M81" s="5"/>
      <x:c r="N81" s="6"/>
    </x:row>
    <x:row r="82" spans="1:14" ht="20.100000000000001" customHeight="1">
      <x:c r="A82" s="300"/>
      <x:c r="B82" s="3"/>
      <x:c r="C82" s="3"/>
      <x:c r="D82" s="4"/>
      <x:c r="E82" s="4"/>
      <x:c r="F82" s="5">
        <x:f t="shared" si="12"/>
        <x:v>0</x:v>
      </x:c>
      <x:c r="G82" s="6"/>
      <x:c r="H82" s="300"/>
      <x:c r="I82" s="3"/>
      <x:c r="J82" s="3"/>
      <x:c r="K82" s="4"/>
      <x:c r="L82" s="4">
        <x:f>+K82*0.1</x:f>
        <x:v>0</x:v>
      </x:c>
      <x:c r="M82" s="5">
        <x:f>+K82+L82</x:f>
        <x:v>0</x:v>
      </x:c>
      <x:c r="N82" s="6"/>
    </x:row>
    <x:row r="83" spans="1:14" ht="20.100000000000001" customHeight="1">
      <x:c r="A83" s="7" t="s">
        <x:v>155</x:v>
      </x:c>
      <x:c r="B83" s="8"/>
      <x:c r="C83" s="8"/>
      <x:c r="D83" s="9">
        <x:f>SUM(D73:D82)</x:f>
        <x:v>955500</x:v>
      </x:c>
      <x:c r="E83" s="9">
        <x:f>SUM(E73:E82)</x:f>
        <x:v>0</x:v>
      </x:c>
      <x:c r="F83" s="10">
        <x:f>SUM(F73:F82)</x:f>
        <x:v>955500</x:v>
      </x:c>
      <x:c r="G83" s="11"/>
      <x:c r="H83" s="7"/>
      <x:c r="I83" s="8"/>
      <x:c r="J83" s="8"/>
      <x:c r="K83" s="9">
        <x:f>SUM(K73:K82)</x:f>
        <x:v>260490</x:v>
      </x:c>
      <x:c r="L83" s="9">
        <x:f>SUM(L73:L82)</x:f>
        <x:v>0</x:v>
      </x:c>
      <x:c r="M83" s="10">
        <x:f>SUM(M73:M82)</x:f>
        <x:v>260490</x:v>
      </x:c>
      <x:c r="N83" s="11"/>
    </x:row>
    <x:row r="84" spans="1:14" ht="20.100000000000001" customHeight="1">
      <x:c r="A84" s="12" t="s">
        <x:v>1690</x:v>
      </x:c>
      <x:c r="B84" s="13"/>
      <x:c r="C84" s="13"/>
      <x:c r="D84" s="14">
        <x:f>+D62+D67+D72+D83</x:f>
        <x:v>1428200</x:v>
      </x:c>
      <x:c r="E84" s="14">
        <x:f>+E62+E67+E72+E83</x:f>
        <x:v>47270</x:v>
      </x:c>
      <x:c r="F84" s="15">
        <x:f>+F62+F67+F72+F83</x:f>
        <x:v>1475470</x:v>
      </x:c>
      <x:c r="G84" s="16"/>
      <x:c r="H84" s="12"/>
      <x:c r="I84" s="13"/>
      <x:c r="J84" s="13"/>
      <x:c r="K84" s="14">
        <x:f>+K62+K67+K72+K83</x:f>
        <x:v>7195090</x:v>
      </x:c>
      <x:c r="L84" s="14">
        <x:f>+L62+L67+L72+L83</x:f>
        <x:v>273460</x:v>
      </x:c>
      <x:c r="M84" s="15">
        <x:f>+M62+M67+M72+M83</x:f>
        <x:v>7468550</x:v>
      </x:c>
      <x:c r="N84" s="16"/>
    </x:row>
    <x:row r="85" spans="1:14" ht="20.100000000000001" customHeight="1">
      <x:c r="A85" s="23" t="s">
        <x:v>35</x:v>
      </x:c>
      <x:c r="B85" s="24"/>
      <x:c r="C85" s="24"/>
      <x:c r="D85" s="25">
        <x:f>+D46-D84</x:f>
        <x:v>-1428200</x:v>
      </x:c>
      <x:c r="E85" s="25">
        <x:f>+E46-E84</x:f>
        <x:v>-47270</x:v>
      </x:c>
      <x:c r="F85" s="26">
        <x:f>+F46-F84</x:f>
        <x:v>-1475470</x:v>
      </x:c>
      <x:c r="G85" s="27"/>
      <x:c r="H85" s="23"/>
      <x:c r="I85" s="24"/>
      <x:c r="J85" s="24"/>
      <x:c r="K85" s="25">
        <x:f>+K46-K84</x:f>
        <x:v>-7195090</x:v>
      </x:c>
      <x:c r="L85" s="25">
        <x:f>+L46-L84</x:f>
        <x:v>-273460</x:v>
      </x:c>
      <x:c r="M85" s="26">
        <x:f>+M46-M84</x:f>
        <x:v>-7468550</x:v>
      </x:c>
      <x:c r="N85" s="27"/>
    </x:row>
    <x:row r="86" spans="1:14" ht="20.100000000000001" customHeight="1">
      <x:c r="A86" s="302" t="s">
        <x:v>333</x:v>
      </x:c>
      <x:c r="B86" s="303"/>
      <x:c r="C86" s="303"/>
      <x:c r="D86" s="303"/>
      <x:c r="E86" s="303"/>
      <x:c r="F86" s="304"/>
      <x:c r="G86" s="305"/>
      <x:c r="H86" s="302" t="s">
        <x:v>331</x:v>
      </x:c>
      <x:c r="I86" s="303"/>
      <x:c r="J86" s="303"/>
      <x:c r="K86" s="303"/>
      <x:c r="L86" s="303"/>
      <x:c r="M86" s="304"/>
      <x:c r="N86" s="305"/>
    </x:row>
    <x:row r="87" spans="1:14" ht="20.100000000000001" customHeight="1">
      <x:c r="A87" s="29" t="s">
        <x:v>147</x:v>
      </x:c>
      <x:c r="B87" s="30" t="s">
        <x:v>144</x:v>
      </x:c>
      <x:c r="C87" s="30" t="s">
        <x:v>150</x:v>
      </x:c>
      <x:c r="D87" s="31" t="s">
        <x:v>145</x:v>
      </x:c>
      <x:c r="E87" s="31" t="s">
        <x:v>152</x:v>
      </x:c>
      <x:c r="F87" s="32" t="s">
        <x:v>146</x:v>
      </x:c>
      <x:c r="G87" s="33" t="s">
        <x:v>154</x:v>
      </x:c>
      <x:c r="H87" s="29" t="s">
        <x:v>147</x:v>
      </x:c>
      <x:c r="I87" s="30" t="s">
        <x:v>144</x:v>
      </x:c>
      <x:c r="J87" s="30" t="s">
        <x:v>150</x:v>
      </x:c>
      <x:c r="K87" s="31" t="s">
        <x:v>145</x:v>
      </x:c>
      <x:c r="L87" s="31" t="s">
        <x:v>152</x:v>
      </x:c>
      <x:c r="M87" s="31" t="s">
        <x:v>146</x:v>
      </x:c>
      <x:c r="N87" s="34" t="s">
        <x:v>154</x:v>
      </x:c>
    </x:row>
    <x:row r="88" spans="1:14" ht="20.100000000000001" customHeight="1">
      <x:c r="A88" s="49" t="s">
        <x:v>151</x:v>
      </x:c>
      <x:c r="B88" s="38" t="s">
        <x:v>1679</x:v>
      </x:c>
      <x:c r="C88" s="38" t="s">
        <x:v>906</x:v>
      </x:c>
      <x:c r="D88" s="39"/>
      <x:c r="E88" s="39">
        <x:f>+D88*0.1</x:f>
        <x:v>0</x:v>
      </x:c>
      <x:c r="F88" s="40">
        <x:f>+D88+E88</x:f>
        <x:v>0</x:v>
      </x:c>
      <x:c r="G88" s="18"/>
      <x:c r="H88" s="41" t="s">
        <x:v>151</x:v>
      </x:c>
      <x:c r="I88" s="38" t="s">
        <x:v>1679</x:v>
      </x:c>
      <x:c r="J88" s="38" t="s">
        <x:v>901</x:v>
      </x:c>
      <x:c r="K88" s="39"/>
      <x:c r="L88" s="39"/>
      <x:c r="M88" s="40">
        <x:f>+K88+L88</x:f>
        <x:v>0</x:v>
      </x:c>
      <x:c r="N88" s="42"/>
    </x:row>
    <x:row r="89" spans="1:14" ht="20.100000000000001" customHeight="1">
      <x:c r="A89" s="298" t="s">
        <x:v>148</x:v>
      </x:c>
      <x:c r="B89" s="19" t="s">
        <x:v>902</x:v>
      </x:c>
      <x:c r="C89" s="19" t="s">
        <x:v>903</x:v>
      </x:c>
      <x:c r="D89" s="20">
        <x:v>191980</x:v>
      </x:c>
      <x:c r="E89" s="20">
        <x:f>+INT(D89*0.1)</x:f>
        <x:v>19198</x:v>
      </x:c>
      <x:c r="F89" s="21">
        <x:f>+D89+E89</x:f>
        <x:v>211178</x:v>
      </x:c>
      <x:c r="G89" s="22"/>
      <x:c r="H89" s="298" t="s">
        <x:v>148</x:v>
      </x:c>
      <x:c r="I89" s="19" t="s">
        <x:v>838</x:v>
      </x:c>
      <x:c r="J89" s="19" t="s">
        <x:v>936</x:v>
      </x:c>
      <x:c r="K89" s="20">
        <x:v>1118500</x:v>
      </x:c>
      <x:c r="L89" s="20">
        <x:f>+K89*0.1</x:f>
        <x:v>111850</x:v>
      </x:c>
      <x:c r="M89" s="21">
        <x:f t="shared" ref="M89:M103" si="13">+K89+L89</x:f>
        <x:v>1230350</x:v>
      </x:c>
      <x:c r="N89" s="22"/>
    </x:row>
    <x:row r="90" spans="1:14" ht="20.100000000000001" customHeight="1">
      <x:c r="A90" s="299"/>
      <x:c r="B90" s="3" t="s">
        <x:v>867</x:v>
      </x:c>
      <x:c r="C90" s="3" t="s">
        <x:v>17</x:v>
      </x:c>
      <x:c r="D90" s="4">
        <x:v>1860440</x:v>
      </x:c>
      <x:c r="E90" s="4">
        <x:f t="shared" ref="E90:E102" si="14">+INT(D90*0.1)</x:f>
        <x:v>186044</x:v>
      </x:c>
      <x:c r="F90" s="5">
        <x:f>+D90+E90</x:f>
        <x:v>2046484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 t="s">
        <x:v>907</x:v>
      </x:c>
      <x:c r="C91" s="3" t="s">
        <x:v>894</x:v>
      </x:c>
      <x:c r="D91" s="4">
        <x:v>2250000</x:v>
      </x:c>
      <x:c r="E91" s="4">
        <x:f t="shared" si="14"/>
        <x:v>225000</x:v>
      </x:c>
      <x:c r="F91" s="5">
        <x:f>+D91+E91</x:f>
        <x:v>2475000</x:v>
      </x:c>
      <x:c r="G91" s="6"/>
      <x:c r="H91" s="299"/>
      <x:c r="I91" s="3"/>
      <x:c r="J91" s="3"/>
      <x:c r="K91" s="4"/>
      <x:c r="L91" s="4">
        <x:f t="shared" ref="L91:L103" si="15"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ref="F92:F102" si="16">+D92+E92</x:f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4"/>
        <x:v>0</x:v>
      </x:c>
      <x:c r="F98" s="5">
        <x:f t="shared" si="16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4"/>
        <x:v>0</x:v>
      </x:c>
      <x:c r="F99" s="5">
        <x:f t="shared" si="16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 t="shared" si="14"/>
        <x:v>0</x:v>
      </x:c>
      <x:c r="F100" s="5">
        <x:f t="shared" si="16"/>
        <x:v>0</x:v>
      </x:c>
      <x:c r="G100" s="6"/>
      <x:c r="H100" s="299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 t="shared" si="14"/>
        <x:v>0</x:v>
      </x:c>
      <x:c r="F101" s="5">
        <x:f t="shared" si="16"/>
        <x:v>0</x:v>
      </x:c>
      <x:c r="G101" s="6"/>
      <x:c r="H101" s="299"/>
      <x:c r="I101" s="3"/>
      <x:c r="J101" s="3"/>
      <x:c r="K101" s="4"/>
      <x:c r="L101" s="4">
        <x:f t="shared" si="15"/>
        <x:v>0</x:v>
      </x:c>
      <x:c r="M101" s="5">
        <x:f t="shared" si="13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 t="shared" si="14"/>
        <x:v>0</x:v>
      </x:c>
      <x:c r="F102" s="5">
        <x:f t="shared" si="16"/>
        <x:v>0</x:v>
      </x:c>
      <x:c r="G102" s="6"/>
      <x:c r="H102" s="299"/>
      <x:c r="I102" s="3"/>
      <x:c r="J102" s="3"/>
      <x:c r="K102" s="4"/>
      <x:c r="L102" s="4">
        <x:f t="shared" si="15"/>
        <x:v>0</x:v>
      </x:c>
      <x:c r="M102" s="5">
        <x:f t="shared" si="13"/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/>
      <x:c r="F103" s="5"/>
      <x:c r="G103" s="6"/>
      <x:c r="H103" s="300"/>
      <x:c r="I103" s="3"/>
      <x:c r="J103" s="3"/>
      <x:c r="K103" s="4"/>
      <x:c r="L103" s="4">
        <x:f t="shared" si="15"/>
        <x:v>0</x:v>
      </x:c>
      <x:c r="M103" s="5">
        <x:f t="shared" si="13"/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SUM(D89:D103)</x:f>
        <x:v>4302420</x:v>
      </x:c>
      <x:c r="E104" s="9">
        <x:f>SUM(E89:E103)</x:f>
        <x:v>430242</x:v>
      </x:c>
      <x:c r="F104" s="10">
        <x:f>SUM(F89:F103)</x:f>
        <x:v>4732662</x:v>
      </x:c>
      <x:c r="G104" s="11"/>
      <x:c r="H104" s="7"/>
      <x:c r="I104" s="8"/>
      <x:c r="J104" s="8"/>
      <x:c r="K104" s="9">
        <x:f>SUM(K89:K103)</x:f>
        <x:v>1118500</x:v>
      </x:c>
      <x:c r="L104" s="9">
        <x:f>SUM(L89:L103)</x:f>
        <x:v>111850</x:v>
      </x:c>
      <x:c r="M104" s="10">
        <x:f>SUM(M89:M103)</x:f>
        <x:v>1230350</x:v>
      </x:c>
      <x:c r="N104" s="11"/>
    </x:row>
    <x:row r="105" spans="1:14" ht="20.100000000000001" customHeight="1">
      <x:c r="A105" s="301" t="s">
        <x:v>153</x:v>
      </x:c>
      <x:c r="B105" s="3" t="s">
        <x:v>873</x:v>
      </x:c>
      <x:c r="C105" s="3"/>
      <x:c r="D105" s="44">
        <x:v>6000000</x:v>
      </x:c>
      <x:c r="E105" s="44">
        <x:f>+D105*0.1</x:f>
        <x:v>600000</x:v>
      </x:c>
      <x:c r="F105" s="45">
        <x:f>+D105+E105</x:f>
        <x:v>6600000</x:v>
      </x:c>
      <x:c r="G105" s="37"/>
      <x:c r="H105" s="301" t="s">
        <x:v>153</x:v>
      </x:c>
      <x:c r="I105" s="3" t="s">
        <x:v>1677</x:v>
      </x:c>
      <x:c r="J105" s="3"/>
      <x:c r="K105" s="4">
        <x:v>900000</x:v>
      </x:c>
      <x:c r="L105" s="4"/>
      <x:c r="M105" s="5">
        <x:f>+K105+L105</x:f>
        <x:v>900000</x:v>
      </x:c>
      <x:c r="N105" s="6"/>
    </x:row>
    <x:row r="106" spans="1:14" ht="20.100000000000001" customHeight="1">
      <x:c r="A106" s="299"/>
      <x:c r="B106" s="3"/>
      <x:c r="C106" s="3"/>
      <x:c r="D106" s="44"/>
      <x:c r="E106" s="44">
        <x:f>+D106*0.1</x:f>
        <x:v>0</x:v>
      </x:c>
      <x:c r="F106" s="45">
        <x:f>+D106+E106</x:f>
        <x:v>0</x:v>
      </x:c>
      <x:c r="G106" s="37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6000000</x:v>
      </x:c>
      <x:c r="E109" s="9">
        <x:f>SUM(E105:E108)</x:f>
        <x:v>600000</x:v>
      </x:c>
      <x:c r="F109" s="10">
        <x:f>SUM(F105:F108)</x:f>
        <x:v>6600000</x:v>
      </x:c>
      <x:c r="G109" s="11"/>
      <x:c r="H109" s="7"/>
      <x:c r="I109" s="8"/>
      <x:c r="J109" s="8"/>
      <x:c r="K109" s="9">
        <x:f>SUM(K105:K108)</x:f>
        <x:v>900000</x:v>
      </x:c>
      <x:c r="L109" s="9">
        <x:f>SUM(L105:L108)</x:f>
        <x:v>0</x:v>
      </x:c>
      <x:c r="M109" s="10">
        <x:f>SUM(M105:M108)</x:f>
        <x:v>900000</x:v>
      </x:c>
      <x:c r="N109" s="11"/>
    </x:row>
    <x:row r="110" spans="1:14" ht="20.100000000000001" customHeight="1">
      <x:c r="A110" s="301" t="s">
        <x:v>187</x:v>
      </x:c>
      <x:c r="B110" s="3" t="s">
        <x:v>933</x:v>
      </x:c>
      <x:c r="C110" s="3" t="s">
        <x:v>930</x:v>
      </x:c>
      <x:c r="D110" s="4">
        <x:v>300000</x:v>
      </x:c>
      <x:c r="E110" s="4">
        <x:f>+D110*0.1</x:f>
        <x:v>30000</x:v>
      </x:c>
      <x:c r="F110" s="5">
        <x:f>+D110+E110</x:f>
        <x:v>330000</x:v>
      </x:c>
      <x:c r="G110" s="6"/>
      <x:c r="H110" s="301" t="s">
        <x:v>187</x:v>
      </x:c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300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300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7" t="s">
        <x:v>155</x:v>
      </x:c>
      <x:c r="B114" s="8"/>
      <x:c r="C114" s="8"/>
      <x:c r="D114" s="9">
        <x:f>SUM(D110:D113)</x:f>
        <x:v>300000</x:v>
      </x:c>
      <x:c r="E114" s="9">
        <x:f>SUM(E110:E113)</x:f>
        <x:v>30000</x:v>
      </x:c>
      <x:c r="F114" s="10">
        <x:f>SUM(F110:F113)</x:f>
        <x:v>330000</x:v>
      </x:c>
      <x:c r="G114" s="11"/>
      <x:c r="H114" s="7"/>
      <x:c r="I114" s="8"/>
      <x:c r="J114" s="8"/>
      <x:c r="K114" s="9">
        <x:f>SUM(K110:K113)</x:f>
        <x:v>0</x:v>
      </x:c>
      <x:c r="L114" s="9">
        <x:f>SUM(L110:L113)</x:f>
        <x:v>0</x:v>
      </x:c>
      <x:c r="M114" s="10">
        <x:f>SUM(M110:M113)</x:f>
        <x:v>0</x:v>
      </x:c>
      <x:c r="N114" s="11"/>
    </x:row>
    <x:row r="115" spans="1:14" ht="20.100000000000001" customHeight="1">
      <x:c r="A115" s="301" t="s">
        <x:v>149</x:v>
      </x:c>
      <x:c r="B115" s="3"/>
      <x:c r="C115" s="3"/>
      <x:c r="D115" s="4"/>
      <x:c r="E115" s="4"/>
      <x:c r="F115" s="5">
        <x:f>+D115+E115</x:f>
        <x:v>0</x:v>
      </x:c>
      <x:c r="G115" s="6"/>
      <x:c r="H115" s="301" t="s">
        <x:v>149</x:v>
      </x:c>
      <x:c r="I115" s="3" t="s">
        <x:v>923</x:v>
      </x:c>
      <x:c r="J115" s="3" t="s">
        <x:v>928</x:v>
      </x:c>
      <x:c r="K115" s="4">
        <x:v>1500000</x:v>
      </x:c>
      <x:c r="L115" s="4">
        <x:f>+K115*0.1</x:f>
        <x:v>150000</x:v>
      </x:c>
      <x:c r="M115" s="5">
        <x:f t="shared" ref="M115:M122" si="17">+K115+L115</x:f>
        <x:v>1650000</x:v>
      </x:c>
      <x:c r="N115" s="6" t="s">
        <x:v>921</x:v>
      </x:c>
    </x:row>
    <x:row r="116" spans="1:14" ht="20.100000000000001" customHeight="1">
      <x:c r="A116" s="299"/>
      <x:c r="B116" s="3"/>
      <x:c r="C116" s="3"/>
      <x:c r="D116" s="4"/>
      <x:c r="E116" s="4"/>
      <x:c r="F116" s="5">
        <x:f>+D116+E116</x:f>
        <x:v>0</x:v>
      </x:c>
      <x:c r="G116" s="6"/>
      <x:c r="H116" s="299"/>
      <x:c r="I116" s="3"/>
      <x:c r="J116" s="3"/>
      <x:c r="K116" s="4"/>
      <x:c r="L116" s="4">
        <x:f t="shared" ref="L116:L122" si="18">+K116*0.1</x:f>
        <x:v>0</x:v>
      </x:c>
      <x:c r="M116" s="5">
        <x:f t="shared" si="17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>+D117+E117</x:f>
        <x:v>0</x:v>
      </x:c>
      <x:c r="G117" s="6"/>
      <x:c r="H117" s="299"/>
      <x:c r="I117" s="3"/>
      <x:c r="J117" s="3"/>
      <x:c r="K117" s="4"/>
      <x:c r="L117" s="4">
        <x:f t="shared" si="18"/>
        <x:v>0</x:v>
      </x:c>
      <x:c r="M117" s="5">
        <x:f t="shared" si="17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ref="F118:F124" si="19">+D118+E118</x:f>
        <x:v>0</x:v>
      </x:c>
      <x:c r="G118" s="6"/>
      <x:c r="H118" s="299"/>
      <x:c r="I118" s="3"/>
      <x:c r="J118" s="3"/>
      <x:c r="K118" s="4"/>
      <x:c r="L118" s="4">
        <x:f t="shared" si="18"/>
        <x:v>0</x:v>
      </x:c>
      <x:c r="M118" s="5">
        <x:f t="shared" si="17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9"/>
        <x:v>0</x:v>
      </x:c>
      <x:c r="G119" s="6"/>
      <x:c r="H119" s="299"/>
      <x:c r="I119" s="3"/>
      <x:c r="J119" s="3"/>
      <x:c r="K119" s="4"/>
      <x:c r="L119" s="4">
        <x:f t="shared" si="18"/>
        <x:v>0</x:v>
      </x:c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9"/>
        <x:v>0</x:v>
      </x:c>
      <x:c r="G120" s="6"/>
      <x:c r="H120" s="299"/>
      <x:c r="I120" s="3"/>
      <x:c r="J120" s="3"/>
      <x:c r="K120" s="4"/>
      <x:c r="L120" s="4">
        <x:f t="shared" si="18"/>
        <x:v>0</x:v>
      </x:c>
      <x:c r="M120" s="5">
        <x:f t="shared" si="17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>
        <x:f t="shared" si="19"/>
        <x:v>0</x:v>
      </x:c>
      <x:c r="G121" s="6"/>
      <x:c r="H121" s="299"/>
      <x:c r="I121" s="3"/>
      <x:c r="J121" s="3"/>
      <x:c r="K121" s="4"/>
      <x:c r="L121" s="4">
        <x:f t="shared" si="18"/>
        <x:v>0</x:v>
      </x:c>
      <x:c r="M121" s="5">
        <x:f t="shared" si="17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>
        <x:f t="shared" si="19"/>
        <x:v>0</x:v>
      </x:c>
      <x:c r="G122" s="6"/>
      <x:c r="H122" s="299"/>
      <x:c r="I122" s="3"/>
      <x:c r="J122" s="3"/>
      <x:c r="K122" s="4"/>
      <x:c r="L122" s="4">
        <x:f t="shared" si="18"/>
        <x:v>0</x:v>
      </x:c>
      <x:c r="M122" s="5">
        <x:f t="shared" si="17"/>
        <x:v>0</x:v>
      </x:c>
      <x:c r="N122" s="6"/>
    </x:row>
    <x:row r="123" spans="1:14" ht="20.100000000000001" customHeight="1">
      <x:c r="A123" s="299"/>
      <x:c r="B123" s="3"/>
      <x:c r="C123" s="3"/>
      <x:c r="D123" s="4"/>
      <x:c r="E123" s="4"/>
      <x:c r="F123" s="5">
        <x:f t="shared" si="19"/>
        <x:v>0</x:v>
      </x:c>
      <x:c r="G123" s="6"/>
      <x:c r="H123" s="299"/>
      <x:c r="I123" s="3"/>
      <x:c r="J123" s="3"/>
      <x:c r="K123" s="4"/>
      <x:c r="L123" s="4"/>
      <x:c r="M123" s="5"/>
      <x:c r="N123" s="6"/>
    </x:row>
    <x:row r="124" spans="1:14" ht="20.100000000000001" customHeight="1">
      <x:c r="A124" s="300"/>
      <x:c r="B124" s="3"/>
      <x:c r="C124" s="3"/>
      <x:c r="D124" s="4"/>
      <x:c r="E124" s="4"/>
      <x:c r="F124" s="5">
        <x:f t="shared" si="19"/>
        <x:v>0</x:v>
      </x:c>
      <x:c r="G124" s="6"/>
      <x:c r="H124" s="300"/>
      <x:c r="I124" s="3"/>
      <x:c r="J124" s="3"/>
      <x:c r="K124" s="4"/>
      <x:c r="L124" s="4">
        <x:f>+K124*0.1</x:f>
        <x:v>0</x:v>
      </x:c>
      <x:c r="M124" s="5">
        <x:f>+K124+L124</x:f>
        <x:v>0</x:v>
      </x:c>
      <x:c r="N124" s="6"/>
    </x:row>
    <x:row r="125" spans="1:14" ht="20.100000000000001" customHeight="1">
      <x:c r="A125" s="7" t="s">
        <x:v>155</x:v>
      </x:c>
      <x:c r="B125" s="8"/>
      <x:c r="C125" s="8"/>
      <x:c r="D125" s="9">
        <x:f>SUM(D115:D124)</x:f>
        <x:v>0</x:v>
      </x:c>
      <x:c r="E125" s="9">
        <x:f>SUM(E115:E124)</x:f>
        <x:v>0</x:v>
      </x:c>
      <x:c r="F125" s="10">
        <x:f>SUM(F115:F124)</x:f>
        <x:v>0</x:v>
      </x:c>
      <x:c r="G125" s="11"/>
      <x:c r="H125" s="7"/>
      <x:c r="I125" s="8"/>
      <x:c r="J125" s="8"/>
      <x:c r="K125" s="9">
        <x:f>SUM(K115:K124)</x:f>
        <x:v>1500000</x:v>
      </x:c>
      <x:c r="L125" s="9">
        <x:f>SUM(L115:L124)</x:f>
        <x:v>150000</x:v>
      </x:c>
      <x:c r="M125" s="10">
        <x:f>SUM(M115:M124)</x:f>
        <x:v>1650000</x:v>
      </x:c>
      <x:c r="N125" s="11"/>
    </x:row>
    <x:row r="126" spans="1:14" ht="20.100000000000001" customHeight="1">
      <x:c r="A126" s="12" t="s">
        <x:v>1690</x:v>
      </x:c>
      <x:c r="B126" s="13"/>
      <x:c r="C126" s="13"/>
      <x:c r="D126" s="14">
        <x:f>+D104+D109+D114+D125</x:f>
        <x:v>10602420</x:v>
      </x:c>
      <x:c r="E126" s="14">
        <x:f>+E104+E109+E114+E125</x:f>
        <x:v>1060242</x:v>
      </x:c>
      <x:c r="F126" s="15">
        <x:f>+F104+F109+F114+F125</x:f>
        <x:v>11662662</x:v>
      </x:c>
      <x:c r="G126" s="16"/>
      <x:c r="H126" s="12"/>
      <x:c r="I126" s="13"/>
      <x:c r="J126" s="13"/>
      <x:c r="K126" s="14">
        <x:f>+K104+K109+K114+K125</x:f>
        <x:v>3518500</x:v>
      </x:c>
      <x:c r="L126" s="14">
        <x:f>+L104+L109+L114+L125</x:f>
        <x:v>261850</x:v>
      </x:c>
      <x:c r="M126" s="15">
        <x:f>+M104+M109+M114+M125</x:f>
        <x:v>3780350</x:v>
      </x:c>
      <x:c r="N126" s="16"/>
    </x:row>
    <x:row r="127" spans="1:14" ht="20.100000000000001" customHeight="1">
      <x:c r="A127" s="23" t="s">
        <x:v>35</x:v>
      </x:c>
      <x:c r="B127" s="24"/>
      <x:c r="C127" s="24"/>
      <x:c r="D127" s="25">
        <x:f>+D88-D126</x:f>
        <x:v>-10602420</x:v>
      </x:c>
      <x:c r="E127" s="25">
        <x:f>+E88-E126</x:f>
        <x:v>-1060242</x:v>
      </x:c>
      <x:c r="F127" s="26">
        <x:f>+F88-F126</x:f>
        <x:v>-11662662</x:v>
      </x:c>
      <x:c r="G127" s="27"/>
      <x:c r="H127" s="23"/>
      <x:c r="I127" s="24"/>
      <x:c r="J127" s="24"/>
      <x:c r="K127" s="25">
        <x:f>+K88-K126</x:f>
        <x:v>-3518500</x:v>
      </x:c>
      <x:c r="L127" s="25">
        <x:f>+L88-L126</x:f>
        <x:v>-261850</x:v>
      </x:c>
      <x:c r="M127" s="26">
        <x:f>+M88-M126</x:f>
        <x:v>-3780350</x:v>
      </x:c>
      <x:c r="N127" s="27"/>
    </x:row>
  </x:sheetData>
  <x:mergeCells count="31">
    <x:mergeCell ref="A21:A24"/>
    <x:mergeCell ref="H21:H24"/>
    <x:mergeCell ref="A1:N1"/>
    <x:mergeCell ref="A2:G2"/>
    <x:mergeCell ref="H2:N2"/>
    <x:mergeCell ref="A5:A19"/>
    <x:mergeCell ref="H5:H19"/>
    <x:mergeCell ref="A26:A29"/>
    <x:mergeCell ref="H26:H29"/>
    <x:mergeCell ref="A31:A40"/>
    <x:mergeCell ref="H31:H40"/>
    <x:mergeCell ref="A44:G44"/>
    <x:mergeCell ref="H44:N44"/>
    <x:mergeCell ref="A47:A61"/>
    <x:mergeCell ref="H47:H61"/>
    <x:mergeCell ref="A63:A66"/>
    <x:mergeCell ref="H63:H66"/>
    <x:mergeCell ref="A68:A71"/>
    <x:mergeCell ref="H68:H71"/>
    <x:mergeCell ref="A73:A82"/>
    <x:mergeCell ref="H73:H82"/>
    <x:mergeCell ref="A86:G86"/>
    <x:mergeCell ref="H86:N86"/>
    <x:mergeCell ref="A89:A103"/>
    <x:mergeCell ref="H89:H103"/>
    <x:mergeCell ref="A105:A108"/>
    <x:mergeCell ref="H105:H108"/>
    <x:mergeCell ref="A110:A113"/>
    <x:mergeCell ref="H110:H113"/>
    <x:mergeCell ref="A115:A124"/>
    <x:mergeCell ref="H115:H12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3" min="0" max="1048575" man="1" pt="0"/>
  </x:rowBreaks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N120"/>
  <x:sheetViews>
    <x:sheetView view="pageBreakPreview" topLeftCell="A1" zoomScaleNormal="100" zoomScaleSheetLayoutView="100" workbookViewId="0">
      <x:selection activeCell="I26" activeCellId="0" sqref="I26:J2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296" t="s">
        <x:v>1683</x:v>
      </x:c>
      <x:c r="B2" s="297"/>
      <x:c r="C2" s="297"/>
      <x:c r="D2" s="297"/>
      <x:c r="E2" s="297"/>
      <x:c r="F2" s="297"/>
      <x:c r="G2" s="297"/>
      <x:c r="H2" s="302" t="s">
        <x:v>1684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0" t="s">
        <x:v>151</x:v>
      </x:c>
      <x:c r="B4" s="38" t="s">
        <x:v>1679</x:v>
      </x:c>
      <x:c r="C4" s="38" t="s">
        <x:v>156</x:v>
      </x:c>
      <x:c r="D4" s="39"/>
      <x:c r="E4" s="39">
        <x:f>+D4*0.1</x:f>
        <x:v>0</x:v>
      </x:c>
      <x:c r="F4" s="40">
        <x:f t="shared" ref="F4:F11" si="0">+D4+E4</x:f>
        <x:v>0</x:v>
      </x:c>
      <x:c r="G4" s="18"/>
      <x:c r="H4" s="41" t="s">
        <x:v>151</x:v>
      </x:c>
      <x:c r="I4" s="38" t="s">
        <x:v>1679</x:v>
      </x:c>
      <x:c r="J4" s="38" t="s">
        <x:v>1678</x:v>
      </x:c>
      <x:c r="K4" s="39">
        <x:v>162240000</x:v>
      </x:c>
      <x:c r="L4" s="39">
        <x:v>7760000</x:v>
      </x:c>
      <x:c r="M4" s="40">
        <x:f>+K4+L4</x:f>
        <x:v>170000000</x:v>
      </x:c>
      <x:c r="N4" s="42"/>
    </x:row>
    <x:row r="5" spans="1:14" ht="20.100000000000001" customHeight="1">
      <x:c r="A5" s="298" t="s">
        <x:v>148</x:v>
      </x:c>
      <x:c r="B5" s="19"/>
      <x:c r="C5" s="19"/>
      <x:c r="D5" s="20"/>
      <x:c r="E5" s="20">
        <x:f>+INT(D5*0.1)</x:f>
        <x:v>0</x:v>
      </x:c>
      <x:c r="F5" s="21">
        <x:f t="shared" si="0"/>
        <x:v>0</x:v>
      </x:c>
      <x:c r="G5" s="22"/>
      <x:c r="H5" s="298" t="s">
        <x:v>148</x:v>
      </x:c>
      <x:c r="I5" s="19" t="s">
        <x:v>838</x:v>
      </x:c>
      <x:c r="J5" s="19" t="s">
        <x:v>912</x:v>
      </x:c>
      <x:c r="K5" s="20">
        <x:v>1068146</x:v>
      </x:c>
      <x:c r="L5" s="20">
        <x:f>+K5*0.1</x:f>
        <x:v>106814.60000000001</x:v>
      </x:c>
      <x:c r="M5" s="21">
        <x:f t="shared" ref="M5:M17" si="1">+K5+L5</x:f>
        <x:v>1174960.6000000001</x:v>
      </x:c>
      <x:c r="N5" s="22"/>
    </x:row>
    <x:row r="6" spans="1:14" ht="20.100000000000001" customHeight="1">
      <x:c r="A6" s="299"/>
      <x:c r="B6" s="3"/>
      <x:c r="C6" s="3"/>
      <x:c r="D6" s="4"/>
      <x:c r="E6" s="4">
        <x:f t="shared" ref="E6:E11" si="2">+INT(D6*0.1)</x:f>
        <x:v>0</x:v>
      </x:c>
      <x:c r="F6" s="5">
        <x:f t="shared" si="0"/>
        <x:v>0</x:v>
      </x:c>
      <x:c r="G6" s="6"/>
      <x:c r="H6" s="299"/>
      <x:c r="I6" s="3" t="s">
        <x:v>34</x:v>
      </x:c>
      <x:c r="J6" s="3" t="s">
        <x:v>23</x:v>
      </x:c>
      <x:c r="K6" s="4">
        <x:v>388000</x:v>
      </x:c>
      <x:c r="L6" s="4">
        <x:f>+K6*0.1</x:f>
        <x:v>38800</x:v>
      </x:c>
      <x:c r="M6" s="5">
        <x:f t="shared" si="1"/>
        <x:v>426800</x:v>
      </x:c>
      <x:c r="N6" s="6"/>
    </x:row>
    <x:row r="7" spans="1:14" ht="20.100000000000001" customHeight="1">
      <x:c r="A7" s="299"/>
      <x:c r="B7" s="3"/>
      <x:c r="C7" s="3"/>
      <x:c r="D7" s="4"/>
      <x:c r="E7" s="4">
        <x:f t="shared" si="2"/>
        <x:v>0</x:v>
      </x:c>
      <x:c r="F7" s="5">
        <x:f t="shared" si="0"/>
        <x:v>0</x:v>
      </x:c>
      <x:c r="G7" s="6"/>
      <x:c r="H7" s="299"/>
      <x:c r="I7" s="3" t="s">
        <x:v>867</x:v>
      </x:c>
      <x:c r="J7" s="3" t="s">
        <x:v>20</x:v>
      </x:c>
      <x:c r="K7" s="4">
        <x:v>348201820</x:v>
      </x:c>
      <x:c r="L7" s="4">
        <x:v>34820176</x:v>
      </x:c>
      <x:c r="M7" s="5">
        <x:f t="shared" si="1"/>
        <x:v>383021996</x:v>
      </x:c>
      <x:c r="N7" s="6"/>
    </x:row>
    <x:row r="8" spans="1:14" ht="20.100000000000001" customHeight="1">
      <x:c r="A8" s="299"/>
      <x:c r="B8" s="3"/>
      <x:c r="C8" s="3"/>
      <x:c r="D8" s="4"/>
      <x:c r="E8" s="4">
        <x:f t="shared" si="2"/>
        <x:v>0</x:v>
      </x:c>
      <x:c r="F8" s="5">
        <x:f t="shared" si="0"/>
        <x:v>0</x:v>
      </x:c>
      <x:c r="G8" s="6"/>
      <x:c r="H8" s="299"/>
      <x:c r="I8" s="3" t="s">
        <x:v>864</x:v>
      </x:c>
      <x:c r="J8" s="3" t="s">
        <x:v>76</x:v>
      </x:c>
      <x:c r="K8" s="4">
        <x:v>900370</x:v>
      </x:c>
      <x:c r="L8" s="4">
        <x:f t="shared" ref="L8:L17" si="3">+K8*0.1</x:f>
        <x:v>90037</x:v>
      </x:c>
      <x:c r="M8" s="5">
        <x:f t="shared" si="1"/>
        <x:v>990407</x:v>
      </x:c>
      <x:c r="N8" s="6"/>
    </x:row>
    <x:row r="9" spans="1:14" ht="20.100000000000001" customHeight="1">
      <x:c r="A9" s="299"/>
      <x:c r="B9" s="3"/>
      <x:c r="C9" s="3"/>
      <x:c r="D9" s="4"/>
      <x:c r="E9" s="4">
        <x:f t="shared" si="2"/>
        <x:v>0</x:v>
      </x:c>
      <x:c r="F9" s="5">
        <x:f t="shared" si="0"/>
        <x:v>0</x:v>
      </x:c>
      <x:c r="G9" s="6"/>
      <x:c r="H9" s="299"/>
      <x:c r="I9" s="3" t="s">
        <x:v>840</x:v>
      </x:c>
      <x:c r="J9" s="3" t="s">
        <x:v>18</x:v>
      </x:c>
      <x:c r="K9" s="4">
        <x:v>1820970</x:v>
      </x:c>
      <x:c r="L9" s="4">
        <x:f t="shared" si="3"/>
        <x:v>182097</x:v>
      </x:c>
      <x:c r="M9" s="5">
        <x:f t="shared" si="1"/>
        <x:v>2003067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si="2"/>
        <x:v>0</x:v>
      </x:c>
      <x:c r="F10" s="5">
        <x:f t="shared" si="0"/>
        <x:v>0</x:v>
      </x:c>
      <x:c r="G10" s="6"/>
      <x:c r="H10" s="299"/>
      <x:c r="I10" s="3" t="s">
        <x:v>1705</x:v>
      </x:c>
      <x:c r="J10" s="3" t="s">
        <x:v>929</x:v>
      </x:c>
      <x:c r="K10" s="4">
        <x:v>81000</x:v>
      </x:c>
      <x:c r="L10" s="4">
        <x:f t="shared" si="3"/>
        <x:v>8100</x:v>
      </x:c>
      <x:c r="M10" s="5">
        <x:f t="shared" si="1"/>
        <x:v>89100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2"/>
        <x:v>0</x:v>
      </x:c>
      <x:c r="F11" s="5">
        <x:f t="shared" si="0"/>
        <x:v>0</x:v>
      </x:c>
      <x:c r="G11" s="6"/>
      <x:c r="H11" s="299"/>
      <x:c r="I11" s="3" t="s">
        <x:v>910</x:v>
      </x:c>
      <x:c r="J11" s="3" t="s">
        <x:v>909</x:v>
      </x:c>
      <x:c r="K11" s="4">
        <x:v>1030000</x:v>
      </x:c>
      <x:c r="L11" s="4">
        <x:f t="shared" si="3"/>
        <x:v>103000</x:v>
      </x:c>
      <x:c r="M11" s="5">
        <x:f t="shared" si="1"/>
        <x:v>1133000</x:v>
      </x:c>
      <x:c r="N11" s="6"/>
    </x:row>
    <x:row r="12" spans="1:14" ht="20.100000000000001" customHeight="1">
      <x:c r="A12" s="300"/>
      <x:c r="B12" s="3"/>
      <x:c r="C12" s="3"/>
      <x:c r="D12" s="4"/>
      <x:c r="E12" s="4"/>
      <x:c r="F12" s="5"/>
      <x:c r="G12" s="6"/>
      <x:c r="H12" s="300"/>
      <x:c r="I12" s="3" t="s">
        <x:v>846</x:v>
      </x:c>
      <x:c r="J12" s="3" t="s">
        <x:v>25</x:v>
      </x:c>
      <x:c r="K12" s="4">
        <x:v>989765</x:v>
      </x:c>
      <x:c r="L12" s="4">
        <x:f t="shared" si="3"/>
        <x:v>98976.5</x:v>
      </x:c>
      <x:c r="M12" s="5">
        <x:f t="shared" si="1"/>
        <x:v>1088741.5</x:v>
      </x:c>
      <x:c r="N12" s="6"/>
    </x:row>
    <x:row r="13" spans="1:14" ht="20.100000000000001" customHeight="1">
      <x:c r="A13" s="7" t="s">
        <x:v>155</x:v>
      </x:c>
      <x:c r="B13" s="8"/>
      <x:c r="C13" s="8"/>
      <x:c r="D13" s="9">
        <x:f>SUM(D5:D12)</x:f>
        <x:v>0</x:v>
      </x:c>
      <x:c r="E13" s="9">
        <x:f>SUM(E5:E12)</x:f>
        <x:v>0</x:v>
      </x:c>
      <x:c r="F13" s="10">
        <x:f>SUM(F5:F12)</x:f>
        <x:v>0</x:v>
      </x:c>
      <x:c r="G13" s="11"/>
      <x:c r="H13" s="7"/>
      <x:c r="I13" s="8"/>
      <x:c r="J13" s="8"/>
      <x:c r="K13" s="9">
        <x:f>SUM(K5:K12)</x:f>
        <x:v>354480071</x:v>
      </x:c>
      <x:c r="L13" s="9">
        <x:f>SUM(L5:L12)</x:f>
        <x:v>35448001.100000001</x:v>
      </x:c>
      <x:c r="M13" s="10">
        <x:f>SUM(M5:M12)</x:f>
        <x:v>389928072.10000002</x:v>
      </x:c>
      <x:c r="N13" s="11"/>
    </x:row>
    <x:row r="14" spans="1:14" ht="20.100000000000001" customHeight="1">
      <x:c r="A14" s="301" t="s">
        <x:v>153</x:v>
      </x:c>
      <x:c r="B14" s="3" t="s">
        <x:v>1677</x:v>
      </x:c>
      <x:c r="C14" s="3"/>
      <x:c r="D14" s="44">
        <x:v>1530000</x:v>
      </x:c>
      <x:c r="E14" s="44"/>
      <x:c r="F14" s="45">
        <x:f>+D14+E14</x:f>
        <x:v>1530000</x:v>
      </x:c>
      <x:c r="G14" s="37"/>
      <x:c r="H14" s="301" t="s">
        <x:v>153</x:v>
      </x:c>
      <x:c r="I14" s="3" t="s">
        <x:v>1677</x:v>
      </x:c>
      <x:c r="J14" s="3"/>
      <x:c r="K14" s="4">
        <x:v>32352500</x:v>
      </x:c>
      <x:c r="L14" s="4"/>
      <x:c r="M14" s="5">
        <x:f t="shared" si="1"/>
        <x:v>32352500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>+D15*0.1</x:f>
        <x:v>0</x:v>
      </x:c>
      <x:c r="F15" s="5">
        <x:f>+D15+E15</x:f>
        <x:v>0</x:v>
      </x:c>
      <x:c r="G15" s="37"/>
      <x:c r="H15" s="299"/>
      <x:c r="I15" s="3" t="s">
        <x:v>922</x:v>
      </x:c>
      <x:c r="J15" s="3" t="s">
        <x:v>911</x:v>
      </x:c>
      <x:c r="K15" s="4">
        <x:v>14705000</x:v>
      </x:c>
      <x:c r="L15" s="4"/>
      <x:c r="M15" s="5">
        <x:f t="shared" si="1"/>
        <x:v>14705000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>+D16*0.1</x:f>
        <x:v>0</x:v>
      </x:c>
      <x:c r="F16" s="5">
        <x:f>+D16+E16</x:f>
        <x:v>0</x:v>
      </x:c>
      <x:c r="G16" s="6"/>
      <x:c r="H16" s="299"/>
      <x:c r="I16" s="3"/>
      <x:c r="J16" s="3"/>
      <x:c r="K16" s="4"/>
      <x:c r="L16" s="4">
        <x:f t="shared" si="3"/>
        <x:v>0</x:v>
      </x:c>
      <x:c r="M16" s="5">
        <x:f t="shared" si="1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>
        <x:f>+D17*0.1</x:f>
        <x:v>0</x:v>
      </x:c>
      <x:c r="F17" s="5">
        <x:f>+D17+E17</x:f>
        <x:v>0</x:v>
      </x:c>
      <x:c r="G17" s="6"/>
      <x:c r="H17" s="300"/>
      <x:c r="I17" s="3"/>
      <x:c r="J17" s="3"/>
      <x:c r="K17" s="4"/>
      <x:c r="L17" s="4">
        <x:f t="shared" si="3"/>
        <x:v>0</x:v>
      </x:c>
      <x:c r="M17" s="5">
        <x:f t="shared" si="1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SUM(D14:D17)</x:f>
        <x:v>1530000</x:v>
      </x:c>
      <x:c r="E18" s="9">
        <x:f>SUM(E14:E17)</x:f>
        <x:v>0</x:v>
      </x:c>
      <x:c r="F18" s="10">
        <x:f>SUM(F14:F17)</x:f>
        <x:v>1530000</x:v>
      </x:c>
      <x:c r="G18" s="11"/>
      <x:c r="H18" s="7"/>
      <x:c r="I18" s="8"/>
      <x:c r="J18" s="8"/>
      <x:c r="K18" s="9">
        <x:f>SUM(K14:K17)</x:f>
        <x:v>47057500</x:v>
      </x:c>
      <x:c r="L18" s="9">
        <x:f>SUM(L14:L17)</x:f>
        <x:v>0</x:v>
      </x:c>
      <x:c r="M18" s="10">
        <x:f>SUM(M14:M17)</x:f>
        <x:v>47057500</x:v>
      </x:c>
      <x:c r="N18" s="11"/>
    </x:row>
    <x:row r="19" spans="1:14" ht="20.100000000000001" customHeight="1">
      <x:c r="A19" s="301" t="s">
        <x:v>187</x:v>
      </x:c>
      <x:c r="B19" s="3"/>
      <x:c r="C19" s="3"/>
      <x:c r="D19" s="4"/>
      <x:c r="E19" s="4">
        <x:f>+D19*0.1</x:f>
        <x:v>0</x:v>
      </x:c>
      <x:c r="F19" s="5">
        <x:f>+D19+E19</x:f>
        <x:v>0</x:v>
      </x:c>
      <x:c r="G19" s="6"/>
      <x:c r="H19" s="301" t="s">
        <x:v>187</x:v>
      </x:c>
      <x:c r="I19" s="3" t="s">
        <x:v>857</x:v>
      </x:c>
      <x:c r="J19" s="3" t="s">
        <x:v>858</x:v>
      </x:c>
      <x:c r="K19" s="4">
        <x:v>300000</x:v>
      </x:c>
      <x:c r="L19" s="4">
        <x:f>+K19*0.1</x:f>
        <x:v>30000</x:v>
      </x:c>
      <x:c r="M19" s="5">
        <x:f>+K19+L19</x:f>
        <x:v>330000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>+D20+E20</x:f>
        <x:v>0</x:v>
      </x:c>
      <x:c r="G20" s="6"/>
      <x:c r="H20" s="299"/>
      <x:c r="I20" s="3" t="s">
        <x:v>1693</x:v>
      </x:c>
      <x:c r="J20" s="3" t="s">
        <x:v>1687</x:v>
      </x:c>
      <x:c r="K20" s="4">
        <x:v>400000</x:v>
      </x:c>
      <x:c r="L20" s="4">
        <x:f>+K20*0.1</x:f>
        <x:v>40000</x:v>
      </x:c>
      <x:c r="M20" s="5">
        <x:f>+K20+L20</x:f>
        <x:v>440000</x:v>
      </x:c>
      <x:c r="N20" s="6"/>
    </x:row>
    <x:row r="21" spans="1:14" ht="20.100000000000001" customHeight="1">
      <x:c r="A21" s="299"/>
      <x:c r="B21" s="3"/>
      <x:c r="C21" s="3"/>
      <x:c r="D21" s="4"/>
      <x:c r="E21" s="4">
        <x:f>+D21*0.1</x:f>
        <x:v>0</x:v>
      </x:c>
      <x:c r="F21" s="5">
        <x:f>+D21+E21</x:f>
        <x:v>0</x:v>
      </x:c>
      <x:c r="G21" s="6"/>
      <x:c r="H21" s="299"/>
      <x:c r="I21" s="3"/>
      <x:c r="J21" s="3"/>
      <x:c r="K21" s="4"/>
      <x:c r="L21" s="4">
        <x:f>+K21*0.1</x:f>
        <x:v>0</x:v>
      </x:c>
      <x:c r="M21" s="5">
        <x:f>+K21+L21</x:f>
        <x:v>0</x:v>
      </x:c>
      <x:c r="N21" s="6"/>
    </x:row>
    <x:row r="22" spans="1:14" ht="20.100000000000001" customHeight="1">
      <x:c r="A22" s="300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6"/>
      <x:c r="H22" s="300"/>
      <x:c r="I22" s="3"/>
      <x:c r="J22" s="3"/>
      <x:c r="K22" s="4"/>
      <x:c r="L22" s="4">
        <x:f>+K22*0.1</x:f>
        <x:v>0</x:v>
      </x:c>
      <x:c r="M22" s="5">
        <x:f>+K22+L22</x:f>
        <x:v>0</x:v>
      </x:c>
      <x:c r="N22" s="6"/>
    </x:row>
    <x:row r="23" spans="1:14" ht="20.100000000000001" customHeight="1">
      <x:c r="A23" s="7" t="s">
        <x:v>155</x:v>
      </x:c>
      <x:c r="B23" s="8"/>
      <x:c r="C23" s="8"/>
      <x:c r="D23" s="9">
        <x:f>SUM(D19:D22)</x:f>
        <x:v>0</x:v>
      </x:c>
      <x:c r="E23" s="9">
        <x:f>SUM(E19:E22)</x:f>
        <x:v>0</x:v>
      </x:c>
      <x:c r="F23" s="10">
        <x:f>SUM(F19:F22)</x:f>
        <x:v>0</x:v>
      </x:c>
      <x:c r="G23" s="11"/>
      <x:c r="H23" s="7"/>
      <x:c r="I23" s="8"/>
      <x:c r="J23" s="8"/>
      <x:c r="K23" s="9">
        <x:f>SUM(K19:K22)</x:f>
        <x:v>700000</x:v>
      </x:c>
      <x:c r="L23" s="9">
        <x:f>SUM(L19:L22)</x:f>
        <x:v>70000</x:v>
      </x:c>
      <x:c r="M23" s="10">
        <x:f>SUM(M19:M22)</x:f>
        <x:v>770000</x:v>
      </x:c>
      <x:c r="N23" s="11"/>
    </x:row>
    <x:row r="24" spans="1:14" ht="20.100000000000001" customHeight="1">
      <x:c r="A24" s="301" t="s">
        <x:v>149</x:v>
      </x:c>
      <x:c r="B24" s="3" t="s">
        <x:v>188</x:v>
      </x:c>
      <x:c r="C24" s="3" t="s">
        <x:v>164</x:v>
      </x:c>
      <x:c r="D24" s="4">
        <x:v>102000</x:v>
      </x:c>
      <x:c r="E24" s="4">
        <x:f>+D24*0.1</x:f>
        <x:v>10200</x:v>
      </x:c>
      <x:c r="F24" s="5">
        <x:f>+D24+E24</x:f>
        <x:v>112200</x:v>
      </x:c>
      <x:c r="G24" s="6"/>
      <x:c r="H24" s="301" t="s">
        <x:v>149</x:v>
      </x:c>
      <x:c r="I24" s="3" t="s">
        <x:v>820</x:v>
      </x:c>
      <x:c r="J24" s="3" t="s">
        <x:v>42</x:v>
      </x:c>
      <x:c r="K24" s="4">
        <x:v>1281500</x:v>
      </x:c>
      <x:c r="L24" s="4">
        <x:f>+K24*0.1</x:f>
        <x:v>128150</x:v>
      </x:c>
      <x:c r="M24" s="5">
        <x:f t="shared" ref="M24:M33" si="4">+K24+L24</x:f>
        <x:v>1409650</x:v>
      </x:c>
      <x:c r="N24" s="6"/>
    </x:row>
    <x:row r="25" spans="1:14" ht="20.100000000000001" customHeight="1">
      <x:c r="A25" s="299"/>
      <x:c r="B25" s="3" t="s">
        <x:v>1713</x:v>
      </x:c>
      <x:c r="C25" s="3" t="s">
        <x:v>939</x:v>
      </x:c>
      <x:c r="D25" s="4">
        <x:v>404900</x:v>
      </x:c>
      <x:c r="E25" s="4"/>
      <x:c r="F25" s="5">
        <x:f>+D25+E25</x:f>
        <x:v>404900</x:v>
      </x:c>
      <x:c r="G25" s="6"/>
      <x:c r="H25" s="299"/>
      <x:c r="I25" s="3" t="s">
        <x:v>1680</x:v>
      </x:c>
      <x:c r="J25" s="3" t="s">
        <x:v>1695</x:v>
      </x:c>
      <x:c r="K25" s="4">
        <x:v>130000</x:v>
      </x:c>
      <x:c r="L25" s="4">
        <x:f>+K25*0.1</x:f>
        <x:v>13000</x:v>
      </x:c>
      <x:c r="M25" s="5">
        <x:f t="shared" si="4"/>
        <x:v>143000</x:v>
      </x:c>
      <x:c r="N25" s="6"/>
    </x:row>
    <x:row r="26" spans="1:14" ht="20.100000000000001" customHeight="1">
      <x:c r="A26" s="299"/>
      <x:c r="B26" s="3" t="s">
        <x:v>877</x:v>
      </x:c>
      <x:c r="C26" s="3" t="s">
        <x:v>937</x:v>
      </x:c>
      <x:c r="D26" s="4">
        <x:v>-2000000</x:v>
      </x:c>
      <x:c r="E26" s="4"/>
      <x:c r="F26" s="5">
        <x:f>+D26+E26</x:f>
        <x:v>-2000000</x:v>
      </x:c>
      <x:c r="G26" s="6"/>
      <x:c r="H26" s="299"/>
      <x:c r="I26" s="3" t="s">
        <x:v>169</x:v>
      </x:c>
      <x:c r="J26" s="3" t="s">
        <x:v>149</x:v>
      </x:c>
      <x:c r="K26" s="4">
        <x:f>125000+1113490</x:f>
        <x:v>1238490</x:v>
      </x:c>
      <x:c r="L26" s="4">
        <x:v>7000</x:v>
      </x:c>
      <x:c r="M26" s="5">
        <x:f t="shared" si="4"/>
        <x:v>1245490</x:v>
      </x:c>
      <x:c r="N26" s="6"/>
    </x:row>
    <x:row r="27" spans="1:14" ht="20.100000000000001" customHeight="1">
      <x:c r="A27" s="299"/>
      <x:c r="B27" s="3" t="s">
        <x:v>177</x:v>
      </x:c>
      <x:c r="C27" s="3" t="s">
        <x:v>837</x:v>
      </x:c>
      <x:c r="D27" s="4">
        <x:f>25500+158000</x:f>
        <x:v>183500</x:v>
      </x:c>
      <x:c r="E27" s="4"/>
      <x:c r="F27" s="5">
        <x:f>+D27+E27</x:f>
        <x:v>183500</x:v>
      </x:c>
      <x:c r="G27" s="6"/>
      <x:c r="H27" s="299"/>
      <x:c r="I27" s="3" t="s">
        <x:v>1713</x:v>
      </x:c>
      <x:c r="J27" s="3" t="s">
        <x:v>916</x:v>
      </x:c>
      <x:c r="K27" s="4">
        <x:v>500000</x:v>
      </x:c>
      <x:c r="L27" s="4"/>
      <x:c r="M27" s="5">
        <x:f t="shared" si="4"/>
        <x:v>500000</x:v>
      </x:c>
      <x:c r="N27" s="6"/>
    </x:row>
    <x:row r="28" spans="1:14" ht="20.100000000000001" customHeight="1">
      <x:c r="A28" s="299"/>
      <x:c r="B28" s="3"/>
      <x:c r="C28" s="3"/>
      <x:c r="D28" s="4"/>
      <x:c r="E28" s="4"/>
      <x:c r="F28" s="5">
        <x:f t="shared" ref="F28:F33" si="5">+D28+E28</x:f>
        <x:v>0</x:v>
      </x:c>
      <x:c r="G28" s="6"/>
      <x:c r="H28" s="299"/>
      <x:c r="I28" s="3"/>
      <x:c r="J28" s="3"/>
      <x:c r="K28" s="4"/>
      <x:c r="L28" s="4"/>
      <x:c r="M28" s="5">
        <x:f t="shared" si="4"/>
        <x:v>0</x:v>
      </x:c>
      <x:c r="N28" s="6"/>
    </x:row>
    <x:row r="29" spans="1:14" ht="20.100000000000001" customHeight="1">
      <x:c r="A29" s="299"/>
      <x:c r="B29" s="3"/>
      <x:c r="C29" s="3"/>
      <x:c r="D29" s="4"/>
      <x:c r="E29" s="4"/>
      <x:c r="F29" s="5">
        <x:f t="shared" si="5"/>
        <x:v>0</x:v>
      </x:c>
      <x:c r="G29" s="6"/>
      <x:c r="H29" s="299"/>
      <x:c r="I29" s="3"/>
      <x:c r="J29" s="3"/>
      <x:c r="K29" s="4"/>
      <x:c r="L29" s="4"/>
      <x:c r="M29" s="5">
        <x:f t="shared" si="4"/>
        <x:v>0</x:v>
      </x:c>
      <x:c r="N29" s="6"/>
    </x:row>
    <x:row r="30" spans="1:14" ht="20.100000000000001" customHeight="1">
      <x:c r="A30" s="299"/>
      <x:c r="B30" s="3"/>
      <x:c r="C30" s="3"/>
      <x:c r="D30" s="4"/>
      <x:c r="E30" s="4"/>
      <x:c r="F30" s="5">
        <x:f t="shared" si="5"/>
        <x:v>0</x:v>
      </x:c>
      <x:c r="G30" s="6"/>
      <x:c r="H30" s="299"/>
      <x:c r="I30" s="3"/>
      <x:c r="J30" s="3"/>
      <x:c r="K30" s="4"/>
      <x:c r="L30" s="4"/>
      <x:c r="M30" s="5">
        <x:f t="shared" si="4"/>
        <x:v>0</x:v>
      </x:c>
      <x:c r="N30" s="6"/>
    </x:row>
    <x:row r="31" spans="1:14" ht="20.100000000000001" customHeight="1">
      <x:c r="A31" s="299"/>
      <x:c r="B31" s="3"/>
      <x:c r="C31" s="3"/>
      <x:c r="D31" s="4"/>
      <x:c r="E31" s="4"/>
      <x:c r="F31" s="5">
        <x:f t="shared" si="5"/>
        <x:v>0</x:v>
      </x:c>
      <x:c r="G31" s="6"/>
      <x:c r="H31" s="299"/>
      <x:c r="I31" s="3"/>
      <x:c r="J31" s="3"/>
      <x:c r="K31" s="4"/>
      <x:c r="L31" s="4"/>
      <x:c r="M31" s="5">
        <x:f t="shared" si="4"/>
        <x:v>0</x:v>
      </x:c>
      <x:c r="N31" s="6"/>
    </x:row>
    <x:row r="32" spans="1:14" ht="20.100000000000001" customHeight="1">
      <x:c r="A32" s="299"/>
      <x:c r="B32" s="3"/>
      <x:c r="C32" s="3"/>
      <x:c r="D32" s="4"/>
      <x:c r="E32" s="4"/>
      <x:c r="F32" s="5">
        <x:f t="shared" si="5"/>
        <x:v>0</x:v>
      </x:c>
      <x:c r="G32" s="6"/>
      <x:c r="H32" s="299"/>
      <x:c r="I32" s="3"/>
      <x:c r="J32" s="3"/>
      <x:c r="K32" s="4"/>
      <x:c r="L32" s="4"/>
      <x:c r="M32" s="5">
        <x:f t="shared" si="4"/>
        <x:v>0</x:v>
      </x:c>
      <x:c r="N32" s="6"/>
    </x:row>
    <x:row r="33" spans="1:14" ht="20.100000000000001" customHeight="1">
      <x:c r="A33" s="300"/>
      <x:c r="B33" s="3"/>
      <x:c r="C33" s="3"/>
      <x:c r="D33" s="4"/>
      <x:c r="E33" s="4"/>
      <x:c r="F33" s="5">
        <x:f t="shared" si="5"/>
        <x:v>0</x:v>
      </x:c>
      <x:c r="G33" s="6"/>
      <x:c r="H33" s="300"/>
      <x:c r="I33" s="3"/>
      <x:c r="J33" s="3"/>
      <x:c r="K33" s="4"/>
      <x:c r="L33" s="4"/>
      <x:c r="M33" s="5">
        <x:f t="shared" si="4"/>
        <x:v>0</x:v>
      </x:c>
      <x:c r="N33" s="6"/>
    </x:row>
    <x:row r="34" spans="1:14" ht="20.100000000000001" customHeight="1">
      <x:c r="A34" s="7" t="s">
        <x:v>155</x:v>
      </x:c>
      <x:c r="B34" s="8"/>
      <x:c r="C34" s="8"/>
      <x:c r="D34" s="9">
        <x:f>SUM(D24:D33)</x:f>
        <x:v>-1309600</x:v>
      </x:c>
      <x:c r="E34" s="9">
        <x:f>SUM(E24:E33)</x:f>
        <x:v>10200</x:v>
      </x:c>
      <x:c r="F34" s="10">
        <x:f>SUM(F24:F33)</x:f>
        <x:v>-1299400</x:v>
      </x:c>
      <x:c r="G34" s="11"/>
      <x:c r="H34" s="7"/>
      <x:c r="I34" s="8"/>
      <x:c r="J34" s="8"/>
      <x:c r="K34" s="9">
        <x:f>SUM(K24:K33)</x:f>
        <x:v>3149990</x:v>
      </x:c>
      <x:c r="L34" s="9">
        <x:f>SUM(L24:L33)</x:f>
        <x:v>148150</x:v>
      </x:c>
      <x:c r="M34" s="10">
        <x:f>SUM(M24:M33)</x:f>
        <x:v>3298140</x:v>
      </x:c>
      <x:c r="N34" s="11"/>
    </x:row>
    <x:row r="35" spans="1:14" ht="20.100000000000001" customHeight="1">
      <x:c r="A35" s="12" t="s">
        <x:v>1690</x:v>
      </x:c>
      <x:c r="B35" s="13"/>
      <x:c r="C35" s="13"/>
      <x:c r="D35" s="14">
        <x:f>+D13+D18+D23+D34</x:f>
        <x:v>220400</x:v>
      </x:c>
      <x:c r="E35" s="14">
        <x:f>+E13+E18+E23+E34</x:f>
        <x:v>10200</x:v>
      </x:c>
      <x:c r="F35" s="15">
        <x:f>+F13+F18+F23+F34</x:f>
        <x:v>230600</x:v>
      </x:c>
      <x:c r="G35" s="16"/>
      <x:c r="H35" s="12"/>
      <x:c r="I35" s="13"/>
      <x:c r="J35" s="13"/>
      <x:c r="K35" s="14">
        <x:f>+K13+K18+K23+K34</x:f>
        <x:v>405387561</x:v>
      </x:c>
      <x:c r="L35" s="14">
        <x:f>+L13+L18+L23+L34</x:f>
        <x:v>35666151.100000001</x:v>
      </x:c>
      <x:c r="M35" s="15">
        <x:f>+M13+M18+M23+M34</x:f>
        <x:v>441053712.10000002</x:v>
      </x:c>
      <x:c r="N35" s="16"/>
    </x:row>
    <x:row r="36" spans="1:14" ht="20.100000000000001" customHeight="1">
      <x:c r="A36" s="23" t="s">
        <x:v>35</x:v>
      </x:c>
      <x:c r="B36" s="24"/>
      <x:c r="C36" s="24"/>
      <x:c r="D36" s="25">
        <x:f>+D4-D35</x:f>
        <x:v>-220400</x:v>
      </x:c>
      <x:c r="E36" s="25">
        <x:f>+E4-E35</x:f>
        <x:v>-10200</x:v>
      </x:c>
      <x:c r="F36" s="26">
        <x:f>+F4-F35</x:f>
        <x:v>-230600</x:v>
      </x:c>
      <x:c r="G36" s="27"/>
      <x:c r="H36" s="23"/>
      <x:c r="I36" s="24"/>
      <x:c r="J36" s="24"/>
      <x:c r="K36" s="25">
        <x:f>+K4-K35</x:f>
        <x:v>-243147561</x:v>
      </x:c>
      <x:c r="L36" s="25">
        <x:f>+L4-L35</x:f>
        <x:v>-27906151.100000001</x:v>
      </x:c>
      <x:c r="M36" s="26">
        <x:f>+M4-M35</x:f>
        <x:v>-271053712.10000002</x:v>
      </x:c>
      <x:c r="N36" s="27"/>
    </x:row>
    <x:row r="37" spans="1:14" ht="20.100000000000001" customHeight="1">
      <x:c r="A37" s="296" t="s">
        <x:v>871</x:v>
      </x:c>
      <x:c r="B37" s="297"/>
      <x:c r="C37" s="297"/>
      <x:c r="D37" s="297"/>
      <x:c r="E37" s="297"/>
      <x:c r="F37" s="297"/>
      <x:c r="G37" s="297"/>
      <x:c r="H37" s="302" t="s">
        <x:v>58</x:v>
      </x:c>
      <x:c r="I37" s="303"/>
      <x:c r="J37" s="303"/>
      <x:c r="K37" s="303"/>
      <x:c r="L37" s="303"/>
      <x:c r="M37" s="304"/>
      <x:c r="N37" s="305"/>
    </x:row>
    <x:row r="38" spans="1:14" ht="20.100000000000001" customHeight="1">
      <x:c r="A38" s="29" t="s">
        <x:v>147</x:v>
      </x:c>
      <x:c r="B38" s="30" t="s">
        <x:v>144</x:v>
      </x:c>
      <x:c r="C38" s="30" t="s">
        <x:v>150</x:v>
      </x:c>
      <x:c r="D38" s="31" t="s">
        <x:v>145</x:v>
      </x:c>
      <x:c r="E38" s="31" t="s">
        <x:v>152</x:v>
      </x:c>
      <x:c r="F38" s="32" t="s">
        <x:v>146</x:v>
      </x:c>
      <x:c r="G38" s="33" t="s">
        <x:v>154</x:v>
      </x:c>
      <x:c r="H38" s="29" t="s">
        <x:v>147</x:v>
      </x:c>
      <x:c r="I38" s="30" t="s">
        <x:v>144</x:v>
      </x:c>
      <x:c r="J38" s="30" t="s">
        <x:v>150</x:v>
      </x:c>
      <x:c r="K38" s="31" t="s">
        <x:v>145</x:v>
      </x:c>
      <x:c r="L38" s="31" t="s">
        <x:v>152</x:v>
      </x:c>
      <x:c r="M38" s="31" t="s">
        <x:v>146</x:v>
      </x:c>
      <x:c r="N38" s="34" t="s">
        <x:v>154</x:v>
      </x:c>
    </x:row>
    <x:row r="39" spans="1:14" ht="20.100000000000001" customHeight="1">
      <x:c r="A39" s="50" t="s">
        <x:v>151</x:v>
      </x:c>
      <x:c r="B39" s="38" t="s">
        <x:v>1679</x:v>
      </x:c>
      <x:c r="C39" s="38" t="s">
        <x:v>56</x:v>
      </x:c>
      <x:c r="D39" s="39"/>
      <x:c r="E39" s="39">
        <x:f>+D39*0.1</x:f>
        <x:v>0</x:v>
      </x:c>
      <x:c r="F39" s="40">
        <x:f>+D39+E39</x:f>
        <x:v>0</x:v>
      </x:c>
      <x:c r="G39" s="18"/>
      <x:c r="H39" s="41" t="s">
        <x:v>151</x:v>
      </x:c>
      <x:c r="I39" s="38" t="s">
        <x:v>1679</x:v>
      </x:c>
      <x:c r="J39" s="38" t="s">
        <x:v>1678</x:v>
      </x:c>
      <x:c r="K39" s="39"/>
      <x:c r="L39" s="39"/>
      <x:c r="M39" s="40">
        <x:f>+K39+L39</x:f>
        <x:v>0</x:v>
      </x:c>
      <x:c r="N39" s="42"/>
    </x:row>
    <x:row r="40" spans="1:14" ht="20.100000000000001" customHeight="1">
      <x:c r="A40" s="298" t="s">
        <x:v>148</x:v>
      </x:c>
      <x:c r="B40" s="19" t="s">
        <x:v>838</x:v>
      </x:c>
      <x:c r="C40" s="19" t="s">
        <x:v>24</x:v>
      </x:c>
      <x:c r="D40" s="20">
        <x:v>637000</x:v>
      </x:c>
      <x:c r="E40" s="20">
        <x:f>+INT(D40*0.1)</x:f>
        <x:v>63700</x:v>
      </x:c>
      <x:c r="F40" s="21">
        <x:f>+D40+E40</x:f>
        <x:v>700700</x:v>
      </x:c>
      <x:c r="G40" s="22"/>
      <x:c r="H40" s="298" t="s">
        <x:v>148</x:v>
      </x:c>
      <x:c r="I40" s="19" t="s">
        <x:v>21</x:v>
      </x:c>
      <x:c r="J40" s="19" t="s">
        <x:v>925</x:v>
      </x:c>
      <x:c r="K40" s="20">
        <x:v>1113200</x:v>
      </x:c>
      <x:c r="L40" s="20">
        <x:f>+K40*0.1</x:f>
        <x:v>111320</x:v>
      </x:c>
      <x:c r="M40" s="21">
        <x:f t="shared" ref="M40:M54" si="6">+K40+L40</x:f>
        <x:v>1224520</x:v>
      </x:c>
      <x:c r="N40" s="22"/>
    </x:row>
    <x:row r="41" spans="1:14" ht="20.100000000000001" customHeight="1">
      <x:c r="A41" s="299"/>
      <x:c r="B41" s="3" t="s">
        <x:v>21</x:v>
      </x:c>
      <x:c r="C41" s="3" t="s">
        <x:v>19</x:v>
      </x:c>
      <x:c r="D41" s="4">
        <x:v>358600</x:v>
      </x:c>
      <x:c r="E41" s="4">
        <x:f t="shared" ref="E41:E53" si="7">+INT(D41*0.1)</x:f>
        <x:v>35860</x:v>
      </x:c>
      <x:c r="F41" s="5">
        <x:f>+D41+E41</x:f>
        <x:v>394460</x:v>
      </x:c>
      <x:c r="G41" s="6"/>
      <x:c r="H41" s="299"/>
      <x:c r="I41" s="3" t="s">
        <x:v>840</x:v>
      </x:c>
      <x:c r="J41" s="3" t="s">
        <x:v>815</x:v>
      </x:c>
      <x:c r="K41" s="4">
        <x:v>44500</x:v>
      </x:c>
      <x:c r="L41" s="4">
        <x:f>+K41*0.1</x:f>
        <x:v>4450</x:v>
      </x:c>
      <x:c r="M41" s="5">
        <x:f t="shared" si="6"/>
        <x:v>48950</x:v>
      </x:c>
      <x:c r="N41" s="6"/>
    </x:row>
    <x:row r="42" spans="1:14" ht="20.100000000000001" customHeight="1">
      <x:c r="A42" s="299"/>
      <x:c r="B42" s="3" t="s">
        <x:v>34</x:v>
      </x:c>
      <x:c r="C42" s="3" t="s">
        <x:v>64</x:v>
      </x:c>
      <x:c r="D42" s="4">
        <x:v>832250</x:v>
      </x:c>
      <x:c r="E42" s="4">
        <x:f t="shared" si="7"/>
        <x:v>83225</x:v>
      </x:c>
      <x:c r="F42" s="5">
        <x:f>+D42+E42</x:f>
        <x:v>915475</x:v>
      </x:c>
      <x:c r="G42" s="6"/>
      <x:c r="H42" s="299"/>
      <x:c r="I42" s="3" t="s">
        <x:v>846</x:v>
      </x:c>
      <x:c r="J42" s="3" t="s">
        <x:v>26</x:v>
      </x:c>
      <x:c r="K42" s="4">
        <x:v>367500</x:v>
      </x:c>
      <x:c r="L42" s="4">
        <x:f t="shared" ref="L42:L54" si="8">+K42*0.1</x:f>
        <x:v>36750</x:v>
      </x:c>
      <x:c r="M42" s="5">
        <x:f t="shared" si="6"/>
        <x:v>404250</x:v>
      </x:c>
      <x:c r="N42" s="6"/>
    </x:row>
    <x:row r="43" spans="1:14" ht="20.100000000000001" customHeight="1">
      <x:c r="A43" s="299"/>
      <x:c r="B43" s="3" t="s">
        <x:v>892</x:v>
      </x:c>
      <x:c r="C43" s="3" t="s">
        <x:v>22</x:v>
      </x:c>
      <x:c r="D43" s="4">
        <x:v>935000</x:v>
      </x:c>
      <x:c r="E43" s="4">
        <x:f t="shared" si="7"/>
        <x:v>93500</x:v>
      </x:c>
      <x:c r="F43" s="5">
        <x:f t="shared" ref="F43:F53" si="9">+D43+E43</x:f>
        <x:v>1028500</x:v>
      </x:c>
      <x:c r="G43" s="6"/>
      <x:c r="H43" s="299"/>
      <x:c r="I43" s="3"/>
      <x:c r="J43" s="3"/>
      <x:c r="K43" s="4"/>
      <x:c r="L43" s="4">
        <x:f t="shared" si="8"/>
        <x:v>0</x:v>
      </x:c>
      <x:c r="M43" s="5">
        <x:f t="shared" si="6"/>
        <x:v>0</x:v>
      </x:c>
      <x:c r="N43" s="6"/>
    </x:row>
    <x:row r="44" spans="1:14" ht="20.100000000000001" customHeight="1">
      <x:c r="A44" s="299"/>
      <x:c r="B44" s="3"/>
      <x:c r="C44" s="3"/>
      <x:c r="D44" s="4"/>
      <x:c r="E44" s="4">
        <x:f t="shared" si="7"/>
        <x:v>0</x:v>
      </x:c>
      <x:c r="F44" s="5">
        <x:f t="shared" si="9"/>
        <x:v>0</x:v>
      </x:c>
      <x:c r="G44" s="6"/>
      <x:c r="H44" s="299"/>
      <x:c r="I44" s="3"/>
      <x:c r="J44" s="3"/>
      <x:c r="K44" s="4"/>
      <x:c r="L44" s="4">
        <x:f t="shared" si="8"/>
        <x:v>0</x:v>
      </x:c>
      <x:c r="M44" s="5">
        <x:f t="shared" si="6"/>
        <x:v>0</x:v>
      </x:c>
      <x:c r="N44" s="6"/>
    </x:row>
    <x:row r="45" spans="1:14" ht="20.100000000000001" customHeight="1">
      <x:c r="A45" s="299"/>
      <x:c r="B45" s="3"/>
      <x:c r="C45" s="3"/>
      <x:c r="D45" s="4"/>
      <x:c r="E45" s="4">
        <x:f t="shared" si="7"/>
        <x:v>0</x:v>
      </x:c>
      <x:c r="F45" s="5">
        <x:f t="shared" si="9"/>
        <x:v>0</x:v>
      </x:c>
      <x:c r="G45" s="6"/>
      <x:c r="H45" s="299"/>
      <x:c r="I45" s="3"/>
      <x:c r="J45" s="3"/>
      <x:c r="K45" s="4"/>
      <x:c r="L45" s="4">
        <x:f t="shared" si="8"/>
        <x:v>0</x:v>
      </x:c>
      <x:c r="M45" s="5">
        <x:f t="shared" si="6"/>
        <x:v>0</x:v>
      </x:c>
      <x:c r="N45" s="6"/>
    </x:row>
    <x:row r="46" spans="1:14" ht="20.100000000000001" customHeight="1">
      <x:c r="A46" s="299"/>
      <x:c r="B46" s="3"/>
      <x:c r="C46" s="3"/>
      <x:c r="D46" s="4"/>
      <x:c r="E46" s="4">
        <x:f t="shared" si="7"/>
        <x:v>0</x:v>
      </x:c>
      <x:c r="F46" s="5">
        <x:f t="shared" si="9"/>
        <x:v>0</x:v>
      </x:c>
      <x:c r="G46" s="6"/>
      <x:c r="H46" s="299"/>
      <x:c r="I46" s="3"/>
      <x:c r="J46" s="3"/>
      <x:c r="K46" s="4"/>
      <x:c r="L46" s="4">
        <x:f t="shared" si="8"/>
        <x:v>0</x:v>
      </x:c>
      <x:c r="M46" s="5">
        <x:f t="shared" si="6"/>
        <x:v>0</x:v>
      </x:c>
      <x:c r="N46" s="6"/>
    </x:row>
    <x:row r="47" spans="1:14" ht="20.100000000000001" customHeight="1">
      <x:c r="A47" s="299"/>
      <x:c r="B47" s="3"/>
      <x:c r="C47" s="3"/>
      <x:c r="D47" s="4"/>
      <x:c r="E47" s="4">
        <x:f t="shared" si="7"/>
        <x:v>0</x:v>
      </x:c>
      <x:c r="F47" s="5">
        <x:f t="shared" si="9"/>
        <x:v>0</x:v>
      </x:c>
      <x:c r="G47" s="6"/>
      <x:c r="H47" s="299"/>
      <x:c r="I47" s="3"/>
      <x:c r="J47" s="3"/>
      <x:c r="K47" s="4"/>
      <x:c r="L47" s="4">
        <x:f t="shared" si="8"/>
        <x:v>0</x:v>
      </x:c>
      <x:c r="M47" s="5">
        <x:f t="shared" si="6"/>
        <x:v>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 t="shared" si="7"/>
        <x:v>0</x:v>
      </x:c>
      <x:c r="F48" s="5">
        <x:f t="shared" si="9"/>
        <x:v>0</x:v>
      </x:c>
      <x:c r="G48" s="6"/>
      <x:c r="H48" s="299"/>
      <x:c r="I48" s="3"/>
      <x:c r="J48" s="3"/>
      <x:c r="K48" s="4"/>
      <x:c r="L48" s="4">
        <x:f t="shared" si="8"/>
        <x:v>0</x:v>
      </x:c>
      <x:c r="M48" s="5">
        <x:f t="shared" si="6"/>
        <x:v>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7"/>
        <x:v>0</x:v>
      </x:c>
      <x:c r="F49" s="5">
        <x:f t="shared" si="9"/>
        <x:v>0</x:v>
      </x:c>
      <x:c r="G49" s="6"/>
      <x:c r="H49" s="299"/>
      <x:c r="I49" s="3"/>
      <x:c r="J49" s="3"/>
      <x:c r="K49" s="4"/>
      <x:c r="L49" s="4">
        <x:f t="shared" si="8"/>
        <x:v>0</x:v>
      </x:c>
      <x:c r="M49" s="5">
        <x:f t="shared" si="6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7"/>
        <x:v>0</x:v>
      </x:c>
      <x:c r="F50" s="5">
        <x:f t="shared" si="9"/>
        <x:v>0</x:v>
      </x:c>
      <x:c r="G50" s="6"/>
      <x:c r="H50" s="299"/>
      <x:c r="I50" s="3"/>
      <x:c r="J50" s="3"/>
      <x:c r="K50" s="4"/>
      <x:c r="L50" s="4">
        <x:f t="shared" si="8"/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7"/>
        <x:v>0</x:v>
      </x:c>
      <x:c r="F51" s="5">
        <x:f t="shared" si="9"/>
        <x:v>0</x:v>
      </x:c>
      <x:c r="G51" s="6"/>
      <x:c r="H51" s="299"/>
      <x:c r="I51" s="3"/>
      <x:c r="J51" s="3"/>
      <x:c r="K51" s="4"/>
      <x:c r="L51" s="4">
        <x:f t="shared" si="8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7"/>
        <x:v>0</x:v>
      </x:c>
      <x:c r="F52" s="5">
        <x:f t="shared" si="9"/>
        <x:v>0</x:v>
      </x:c>
      <x:c r="G52" s="6"/>
      <x:c r="H52" s="299"/>
      <x:c r="I52" s="3"/>
      <x:c r="J52" s="3"/>
      <x:c r="K52" s="4"/>
      <x:c r="L52" s="4">
        <x:f t="shared" si="8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7"/>
        <x:v>0</x:v>
      </x:c>
      <x:c r="F53" s="5">
        <x:f t="shared" si="9"/>
        <x:v>0</x:v>
      </x:c>
      <x:c r="G53" s="6"/>
      <x:c r="H53" s="299"/>
      <x:c r="I53" s="3"/>
      <x:c r="J53" s="3"/>
      <x:c r="K53" s="4"/>
      <x:c r="L53" s="4">
        <x:f t="shared" si="8"/>
        <x:v>0</x:v>
      </x:c>
      <x:c r="M53" s="5">
        <x:f t="shared" si="6"/>
        <x:v>0</x:v>
      </x:c>
      <x:c r="N53" s="6"/>
    </x:row>
    <x:row r="54" spans="1:14" ht="20.100000000000001" customHeight="1">
      <x:c r="A54" s="300"/>
      <x:c r="B54" s="3"/>
      <x:c r="C54" s="3"/>
      <x:c r="D54" s="4"/>
      <x:c r="E54" s="4"/>
      <x:c r="F54" s="5"/>
      <x:c r="G54" s="6"/>
      <x:c r="H54" s="300"/>
      <x:c r="I54" s="3"/>
      <x:c r="J54" s="3"/>
      <x:c r="K54" s="4"/>
      <x:c r="L54" s="4">
        <x:f t="shared" si="8"/>
        <x:v>0</x:v>
      </x:c>
      <x:c r="M54" s="5">
        <x:f t="shared" si="6"/>
        <x:v>0</x:v>
      </x:c>
      <x:c r="N54" s="6"/>
    </x:row>
    <x:row r="55" spans="1:14" ht="20.100000000000001" customHeight="1">
      <x:c r="A55" s="7" t="s">
        <x:v>155</x:v>
      </x:c>
      <x:c r="B55" s="8"/>
      <x:c r="C55" s="8"/>
      <x:c r="D55" s="9">
        <x:f>SUM(D40:D54)</x:f>
        <x:v>2762850</x:v>
      </x:c>
      <x:c r="E55" s="9">
        <x:f>SUM(E40:E54)</x:f>
        <x:v>276285</x:v>
      </x:c>
      <x:c r="F55" s="10">
        <x:f>SUM(F40:F54)</x:f>
        <x:v>3039135</x:v>
      </x:c>
      <x:c r="G55" s="11"/>
      <x:c r="H55" s="7"/>
      <x:c r="I55" s="8"/>
      <x:c r="J55" s="8"/>
      <x:c r="K55" s="9">
        <x:f>SUM(K40:K54)</x:f>
        <x:v>1525200</x:v>
      </x:c>
      <x:c r="L55" s="9">
        <x:f>SUM(L40:L54)</x:f>
        <x:v>152520</x:v>
      </x:c>
      <x:c r="M55" s="10">
        <x:f>SUM(M40:M54)</x:f>
        <x:v>1677720</x:v>
      </x:c>
      <x:c r="N55" s="11"/>
    </x:row>
    <x:row r="56" spans="1:14" ht="20.100000000000001" customHeight="1">
      <x:c r="A56" s="301" t="s">
        <x:v>153</x:v>
      </x:c>
      <x:c r="B56" s="3" t="s">
        <x:v>1677</x:v>
      </x:c>
      <x:c r="C56" s="3"/>
      <x:c r="D56" s="44">
        <x:v>2718000</x:v>
      </x:c>
      <x:c r="E56" s="44"/>
      <x:c r="F56" s="45">
        <x:f>+D56+E56</x:f>
        <x:v>2718000</x:v>
      </x:c>
      <x:c r="G56" s="37"/>
      <x:c r="H56" s="301" t="s">
        <x:v>153</x:v>
      </x:c>
      <x:c r="I56" s="3" t="s">
        <x:v>1677</x:v>
      </x:c>
      <x:c r="J56" s="3"/>
      <x:c r="K56" s="4">
        <x:v>6440000</x:v>
      </x:c>
      <x:c r="L56" s="4"/>
      <x:c r="M56" s="5">
        <x:f>+K56+L56</x:f>
        <x:v>6440000</x:v>
      </x:c>
      <x:c r="N56" s="6"/>
    </x:row>
    <x:row r="57" spans="1:14" ht="20.100000000000001" customHeight="1">
      <x:c r="A57" s="299"/>
      <x:c r="B57" s="3"/>
      <x:c r="C57" s="3"/>
      <x:c r="D57" s="44"/>
      <x:c r="E57" s="44">
        <x:f>+D57*0.1</x:f>
        <x:v>0</x:v>
      </x:c>
      <x:c r="F57" s="45">
        <x:f>+D57+E57</x:f>
        <x:v>0</x:v>
      </x:c>
      <x:c r="G57" s="37"/>
      <x:c r="H57" s="299"/>
      <x:c r="I57" s="3"/>
      <x:c r="J57" s="3"/>
      <x:c r="K57" s="4"/>
      <x:c r="L57" s="4">
        <x:f>+K57*0.1</x:f>
        <x:v>0</x:v>
      </x:c>
      <x:c r="M57" s="5">
        <x:f>+K57+L57</x:f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>+D58*0.1</x:f>
        <x:v>0</x:v>
      </x:c>
      <x:c r="F58" s="5">
        <x:f>+D58+E58</x:f>
        <x:v>0</x:v>
      </x:c>
      <x:c r="G58" s="6"/>
      <x:c r="H58" s="299"/>
      <x:c r="I58" s="3"/>
      <x:c r="J58" s="3"/>
      <x:c r="K58" s="4"/>
      <x:c r="L58" s="4">
        <x:f>+K58*0.1</x:f>
        <x:v>0</x:v>
      </x:c>
      <x:c r="M58" s="5">
        <x:f>+K58+L58</x:f>
        <x:v>0</x:v>
      </x:c>
      <x:c r="N58" s="6"/>
    </x:row>
    <x:row r="59" spans="1:14" ht="20.100000000000001" customHeight="1">
      <x:c r="A59" s="300"/>
      <x:c r="B59" s="3"/>
      <x:c r="C59" s="3"/>
      <x:c r="D59" s="4"/>
      <x:c r="E59" s="4">
        <x:f>+D59*0.1</x:f>
        <x:v>0</x:v>
      </x:c>
      <x:c r="F59" s="5">
        <x:f>+D59+E59</x:f>
        <x:v>0</x:v>
      </x:c>
      <x:c r="G59" s="6"/>
      <x:c r="H59" s="300"/>
      <x:c r="I59" s="3"/>
      <x:c r="J59" s="3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7" t="s">
        <x:v>155</x:v>
      </x:c>
      <x:c r="B60" s="8"/>
      <x:c r="C60" s="8"/>
      <x:c r="D60" s="9">
        <x:f>SUM(D56:D59)</x:f>
        <x:v>2718000</x:v>
      </x:c>
      <x:c r="E60" s="9">
        <x:f>SUM(E56:E59)</x:f>
        <x:v>0</x:v>
      </x:c>
      <x:c r="F60" s="10">
        <x:f>SUM(F56:F59)</x:f>
        <x:v>2718000</x:v>
      </x:c>
      <x:c r="G60" s="11"/>
      <x:c r="H60" s="7"/>
      <x:c r="I60" s="8"/>
      <x:c r="J60" s="8"/>
      <x:c r="K60" s="9">
        <x:f>SUM(K56:K59)</x:f>
        <x:v>6440000</x:v>
      </x:c>
      <x:c r="L60" s="9">
        <x:f>SUM(L56:L59)</x:f>
        <x:v>0</x:v>
      </x:c>
      <x:c r="M60" s="10">
        <x:f>SUM(M56:M59)</x:f>
        <x:v>6440000</x:v>
      </x:c>
      <x:c r="N60" s="11"/>
    </x:row>
    <x:row r="61" spans="1:14" ht="20.100000000000001" customHeight="1">
      <x:c r="A61" s="301" t="s">
        <x:v>187</x:v>
      </x:c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6"/>
      <x:c r="H61" s="301" t="s">
        <x:v>187</x:v>
      </x:c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0</x:v>
      </x:c>
      <x:c r="E65" s="9">
        <x:f>SUM(E61:E64)</x:f>
        <x:v>0</x:v>
      </x:c>
      <x:c r="F65" s="10">
        <x:f>SUM(F61:F64)</x:f>
        <x:v>0</x:v>
      </x:c>
      <x:c r="G65" s="11"/>
      <x:c r="H65" s="7"/>
      <x:c r="I65" s="8"/>
      <x:c r="J65" s="8"/>
      <x:c r="K65" s="9">
        <x:f>SUM(K61:K64)</x:f>
        <x:v>0</x:v>
      </x:c>
      <x:c r="L65" s="9">
        <x:f>SUM(L61:L64)</x:f>
        <x:v>0</x:v>
      </x:c>
      <x:c r="M65" s="10">
        <x:f>SUM(M61:M64)</x:f>
        <x:v>0</x:v>
      </x:c>
      <x:c r="N65" s="11"/>
    </x:row>
    <x:row r="66" spans="1:14" ht="20.100000000000001" customHeight="1">
      <x:c r="A66" s="301" t="s">
        <x:v>149</x:v>
      </x:c>
      <x:c r="B66" s="3" t="s">
        <x:v>172</x:v>
      </x:c>
      <x:c r="C66" s="3" t="s">
        <x:v>66</x:v>
      </x:c>
      <x:c r="D66" s="4">
        <x:v>450000</x:v>
      </x:c>
      <x:c r="E66" s="4"/>
      <x:c r="F66" s="5">
        <x:f>+D66+E66</x:f>
        <x:v>450000</x:v>
      </x:c>
      <x:c r="G66" s="6"/>
      <x:c r="H66" s="301" t="s">
        <x:v>149</x:v>
      </x:c>
      <x:c r="I66" s="3" t="s">
        <x:v>177</x:v>
      </x:c>
      <x:c r="J66" s="3" t="s">
        <x:v>837</x:v>
      </x:c>
      <x:c r="K66" s="4">
        <x:f>39000+80720</x:f>
        <x:v>119720</x:v>
      </x:c>
      <x:c r="L66" s="4"/>
      <x:c r="M66" s="5">
        <x:f t="shared" ref="M66:M73" si="10">+K66+L66</x:f>
        <x:v>119720</x:v>
      </x:c>
      <x:c r="N66" s="6"/>
    </x:row>
    <x:row r="67" spans="1:14" ht="20.100000000000001" customHeight="1">
      <x:c r="A67" s="299"/>
      <x:c r="B67" s="3" t="s">
        <x:v>177</x:v>
      </x:c>
      <x:c r="C67" s="3" t="s">
        <x:v>149</x:v>
      </x:c>
      <x:c r="D67" s="4">
        <x:f>18000+231950</x:f>
        <x:v>249950</x:v>
      </x:c>
      <x:c r="E67" s="4"/>
      <x:c r="F67" s="5">
        <x:f>+D67+E67</x:f>
        <x:v>249950</x:v>
      </x:c>
      <x:c r="G67" s="6"/>
      <x:c r="H67" s="299"/>
      <x:c r="I67" s="3" t="s">
        <x:v>883</x:v>
      </x:c>
      <x:c r="J67" s="3" t="s">
        <x:v>896</x:v>
      </x:c>
      <x:c r="K67" s="4">
        <x:v>150000</x:v>
      </x:c>
      <x:c r="L67" s="4">
        <x:f t="shared" ref="L67:L73" si="11">+K67*0.1</x:f>
        <x:v>15000</x:v>
      </x:c>
      <x:c r="M67" s="5">
        <x:f t="shared" si="10"/>
        <x:v>165000</x:v>
      </x:c>
      <x:c r="N67" s="6"/>
    </x:row>
    <x:row r="68" spans="1:14" ht="20.100000000000001" customHeight="1">
      <x:c r="A68" s="299"/>
      <x:c r="B68" s="3" t="s">
        <x:v>924</x:v>
      </x:c>
      <x:c r="C68" s="3"/>
      <x:c r="D68" s="4">
        <x:v>18000</x:v>
      </x:c>
      <x:c r="E68" s="4">
        <x:f>+D68*0.1</x:f>
        <x:v>1800</x:v>
      </x:c>
      <x:c r="F68" s="5">
        <x:f>+D68+E68</x:f>
        <x:v>19800</x:v>
      </x:c>
      <x:c r="G68" s="6"/>
      <x:c r="H68" s="299"/>
      <x:c r="I68" s="3" t="s">
        <x:v>919</x:v>
      </x:c>
      <x:c r="J68" s="3" t="s">
        <x:v>914</x:v>
      </x:c>
      <x:c r="K68" s="4">
        <x:v>40000</x:v>
      </x:c>
      <x:c r="L68" s="4">
        <x:f t="shared" si="11"/>
        <x:v>4000</x:v>
      </x:c>
      <x:c r="M68" s="5">
        <x:f t="shared" si="10"/>
        <x:v>44000</x:v>
      </x:c>
      <x:c r="N68" s="6"/>
    </x:row>
    <x:row r="69" spans="1:14" ht="20.100000000000001" customHeight="1">
      <x:c r="A69" s="299"/>
      <x:c r="B69" s="3"/>
      <x:c r="C69" s="3"/>
      <x:c r="D69" s="4"/>
      <x:c r="E69" s="4"/>
      <x:c r="F69" s="5">
        <x:f t="shared" ref="F69:F75" si="12">+D69+E69</x:f>
        <x:v>0</x:v>
      </x:c>
      <x:c r="G69" s="6"/>
      <x:c r="H69" s="299"/>
      <x:c r="I69" s="3" t="s">
        <x:v>926</x:v>
      </x:c>
      <x:c r="J69" s="3" t="s">
        <x:v>927</x:v>
      </x:c>
      <x:c r="K69" s="4">
        <x:v>386059</x:v>
      </x:c>
      <x:c r="L69" s="4"/>
      <x:c r="M69" s="5">
        <x:f t="shared" si="10"/>
        <x:v>386059</x:v>
      </x:c>
      <x:c r="N69" s="6"/>
    </x:row>
    <x:row r="70" spans="1:14" ht="20.100000000000001" customHeight="1">
      <x:c r="A70" s="299"/>
      <x:c r="B70" s="3"/>
      <x:c r="C70" s="3"/>
      <x:c r="D70" s="4"/>
      <x:c r="E70" s="4"/>
      <x:c r="F70" s="5">
        <x:f t="shared" si="12"/>
        <x:v>0</x:v>
      </x:c>
      <x:c r="G70" s="6"/>
      <x:c r="H70" s="299"/>
      <x:c r="I70" s="3" t="s">
        <x:v>931</x:v>
      </x:c>
      <x:c r="J70" s="3" t="s">
        <x:v>164</x:v>
      </x:c>
      <x:c r="K70" s="4">
        <x:v>264000</x:v>
      </x:c>
      <x:c r="L70" s="4">
        <x:f t="shared" si="11"/>
        <x:v>26400</x:v>
      </x:c>
      <x:c r="M70" s="5">
        <x:f t="shared" si="10"/>
        <x:v>290400</x:v>
      </x:c>
      <x:c r="N70" s="6"/>
    </x:row>
    <x:row r="71" spans="1:14" ht="20.100000000000001" customHeight="1">
      <x:c r="A71" s="299"/>
      <x:c r="B71" s="3"/>
      <x:c r="C71" s="3"/>
      <x:c r="D71" s="4"/>
      <x:c r="E71" s="4"/>
      <x:c r="F71" s="5">
        <x:f t="shared" si="12"/>
        <x:v>0</x:v>
      </x:c>
      <x:c r="G71" s="6"/>
      <x:c r="H71" s="299"/>
      <x:c r="I71" s="3"/>
      <x:c r="J71" s="3"/>
      <x:c r="K71" s="4"/>
      <x:c r="L71" s="4">
        <x:f t="shared" si="11"/>
        <x:v>0</x:v>
      </x:c>
      <x:c r="M71" s="5">
        <x:f t="shared" si="10"/>
        <x:v>0</x:v>
      </x:c>
      <x:c r="N71" s="6"/>
    </x:row>
    <x:row r="72" spans="1:14" ht="20.100000000000001" customHeight="1">
      <x:c r="A72" s="299"/>
      <x:c r="B72" s="3"/>
      <x:c r="C72" s="3"/>
      <x:c r="D72" s="4"/>
      <x:c r="E72" s="4"/>
      <x:c r="F72" s="5">
        <x:f t="shared" si="12"/>
        <x:v>0</x:v>
      </x:c>
      <x:c r="G72" s="6"/>
      <x:c r="H72" s="299"/>
      <x:c r="I72" s="3"/>
      <x:c r="J72" s="3"/>
      <x:c r="K72" s="4"/>
      <x:c r="L72" s="4">
        <x:f t="shared" si="11"/>
        <x:v>0</x:v>
      </x:c>
      <x:c r="M72" s="5">
        <x:f t="shared" si="10"/>
        <x:v>0</x:v>
      </x:c>
      <x:c r="N72" s="6"/>
    </x:row>
    <x:row r="73" spans="1:14" ht="20.100000000000001" customHeight="1">
      <x:c r="A73" s="299"/>
      <x:c r="B73" s="3"/>
      <x:c r="C73" s="3"/>
      <x:c r="D73" s="4"/>
      <x:c r="E73" s="4"/>
      <x:c r="F73" s="5">
        <x:f t="shared" si="12"/>
        <x:v>0</x:v>
      </x:c>
      <x:c r="G73" s="6"/>
      <x:c r="H73" s="299"/>
      <x:c r="I73" s="3"/>
      <x:c r="J73" s="3"/>
      <x:c r="K73" s="4"/>
      <x:c r="L73" s="4">
        <x:f t="shared" si="11"/>
        <x:v>0</x:v>
      </x:c>
      <x:c r="M73" s="5">
        <x:f t="shared" si="10"/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/>
      <x:c r="F74" s="5">
        <x:f t="shared" si="12"/>
        <x:v>0</x:v>
      </x:c>
      <x:c r="G74" s="6"/>
      <x:c r="H74" s="299"/>
      <x:c r="I74" s="3"/>
      <x:c r="J74" s="3"/>
      <x:c r="K74" s="4"/>
      <x:c r="L74" s="4"/>
      <x:c r="M74" s="5"/>
      <x:c r="N74" s="6"/>
    </x:row>
    <x:row r="75" spans="1:14" ht="20.100000000000001" customHeight="1">
      <x:c r="A75" s="300"/>
      <x:c r="B75" s="3"/>
      <x:c r="C75" s="3"/>
      <x:c r="D75" s="4"/>
      <x:c r="E75" s="4"/>
      <x:c r="F75" s="5">
        <x:f t="shared" si="12"/>
        <x:v>0</x:v>
      </x:c>
      <x:c r="G75" s="6"/>
      <x:c r="H75" s="300"/>
      <x:c r="I75" s="3"/>
      <x:c r="J75" s="3"/>
      <x:c r="K75" s="4"/>
      <x:c r="L75" s="4">
        <x:f>+K75*0.1</x:f>
        <x:v>0</x:v>
      </x:c>
      <x:c r="M75" s="5">
        <x:f>+K75+L75</x:f>
        <x:v>0</x:v>
      </x:c>
      <x:c r="N75" s="6"/>
    </x:row>
    <x:row r="76" spans="1:14" ht="20.100000000000001" customHeight="1">
      <x:c r="A76" s="7" t="s">
        <x:v>155</x:v>
      </x:c>
      <x:c r="B76" s="8"/>
      <x:c r="C76" s="8"/>
      <x:c r="D76" s="9">
        <x:f>SUM(D66:D75)</x:f>
        <x:v>717950</x:v>
      </x:c>
      <x:c r="E76" s="9">
        <x:f>SUM(E66:E75)</x:f>
        <x:v>1800</x:v>
      </x:c>
      <x:c r="F76" s="10">
        <x:f>SUM(F66:F75)</x:f>
        <x:v>719750</x:v>
      </x:c>
      <x:c r="G76" s="11"/>
      <x:c r="H76" s="7"/>
      <x:c r="I76" s="8"/>
      <x:c r="J76" s="8"/>
      <x:c r="K76" s="9">
        <x:f>SUM(K66:K75)</x:f>
        <x:v>959779</x:v>
      </x:c>
      <x:c r="L76" s="9">
        <x:f>SUM(L66:L75)</x:f>
        <x:v>45400</x:v>
      </x:c>
      <x:c r="M76" s="10">
        <x:f>SUM(M66:M75)</x:f>
        <x:v>1005179</x:v>
      </x:c>
      <x:c r="N76" s="11"/>
    </x:row>
    <x:row r="77" spans="1:14" ht="20.100000000000001" customHeight="1">
      <x:c r="A77" s="12" t="s">
        <x:v>1690</x:v>
      </x:c>
      <x:c r="B77" s="13"/>
      <x:c r="C77" s="13"/>
      <x:c r="D77" s="14">
        <x:f>+D55+D60+D65+D76</x:f>
        <x:v>6198800</x:v>
      </x:c>
      <x:c r="E77" s="14">
        <x:f>+E55+E60+E65+E76</x:f>
        <x:v>278085</x:v>
      </x:c>
      <x:c r="F77" s="15">
        <x:f>+F55+F60+F65+F76</x:f>
        <x:v>6476885</x:v>
      </x:c>
      <x:c r="G77" s="16"/>
      <x:c r="H77" s="12"/>
      <x:c r="I77" s="13"/>
      <x:c r="J77" s="13"/>
      <x:c r="K77" s="14">
        <x:f>+K55+K60+K65+K76</x:f>
        <x:v>8924979</x:v>
      </x:c>
      <x:c r="L77" s="14">
        <x:f>+L55+L60+L65+L76</x:f>
        <x:v>197920</x:v>
      </x:c>
      <x:c r="M77" s="15">
        <x:f>+M55+M60+M65+M76</x:f>
        <x:v>9122899</x:v>
      </x:c>
      <x:c r="N77" s="16"/>
    </x:row>
    <x:row r="78" spans="1:14" ht="20.100000000000001" customHeight="1">
      <x:c r="A78" s="23" t="s">
        <x:v>35</x:v>
      </x:c>
      <x:c r="B78" s="24"/>
      <x:c r="C78" s="24"/>
      <x:c r="D78" s="25">
        <x:f>+D39-D77</x:f>
        <x:v>-6198800</x:v>
      </x:c>
      <x:c r="E78" s="25">
        <x:f>+E39-E77</x:f>
        <x:v>-278085</x:v>
      </x:c>
      <x:c r="F78" s="26">
        <x:f>+F39-F77</x:f>
        <x:v>-6476885</x:v>
      </x:c>
      <x:c r="G78" s="27"/>
      <x:c r="H78" s="23"/>
      <x:c r="I78" s="24"/>
      <x:c r="J78" s="24"/>
      <x:c r="K78" s="25">
        <x:f>+K39-K77</x:f>
        <x:v>-8924979</x:v>
      </x:c>
      <x:c r="L78" s="25">
        <x:f>+L39-L77</x:f>
        <x:v>-197920</x:v>
      </x:c>
      <x:c r="M78" s="26">
        <x:f>+M39-M77</x:f>
        <x:v>-9122899</x:v>
      </x:c>
      <x:c r="N78" s="27"/>
    </x:row>
    <x:row r="79" spans="1:14" ht="20.100000000000001" customHeight="1">
      <x:c r="A79" s="302" t="s">
        <x:v>333</x:v>
      </x:c>
      <x:c r="B79" s="303"/>
      <x:c r="C79" s="303"/>
      <x:c r="D79" s="303"/>
      <x:c r="E79" s="303"/>
      <x:c r="F79" s="304"/>
      <x:c r="G79" s="305"/>
      <x:c r="H79" s="302" t="s">
        <x:v>331</x:v>
      </x:c>
      <x:c r="I79" s="303"/>
      <x:c r="J79" s="303"/>
      <x:c r="K79" s="303"/>
      <x:c r="L79" s="303"/>
      <x:c r="M79" s="304"/>
      <x:c r="N79" s="305"/>
    </x:row>
    <x:row r="80" spans="1:14" ht="20.100000000000001" customHeight="1">
      <x:c r="A80" s="29" t="s">
        <x:v>147</x:v>
      </x:c>
      <x:c r="B80" s="30" t="s">
        <x:v>144</x:v>
      </x:c>
      <x:c r="C80" s="30" t="s">
        <x:v>150</x:v>
      </x:c>
      <x:c r="D80" s="31" t="s">
        <x:v>145</x:v>
      </x:c>
      <x:c r="E80" s="31" t="s">
        <x:v>152</x:v>
      </x:c>
      <x:c r="F80" s="32" t="s">
        <x:v>146</x:v>
      </x:c>
      <x:c r="G80" s="33" t="s">
        <x:v>154</x:v>
      </x:c>
      <x:c r="H80" s="29" t="s">
        <x:v>147</x:v>
      </x:c>
      <x:c r="I80" s="30" t="s">
        <x:v>144</x:v>
      </x:c>
      <x:c r="J80" s="30" t="s">
        <x:v>150</x:v>
      </x:c>
      <x:c r="K80" s="31" t="s">
        <x:v>145</x:v>
      </x:c>
      <x:c r="L80" s="31" t="s">
        <x:v>152</x:v>
      </x:c>
      <x:c r="M80" s="31" t="s">
        <x:v>146</x:v>
      </x:c>
      <x:c r="N80" s="34" t="s">
        <x:v>154</x:v>
      </x:c>
    </x:row>
    <x:row r="81" spans="1:14" ht="20.100000000000001" customHeight="1">
      <x:c r="A81" s="50" t="s">
        <x:v>151</x:v>
      </x:c>
      <x:c r="B81" s="38" t="s">
        <x:v>1679</x:v>
      </x:c>
      <x:c r="C81" s="38" t="s">
        <x:v>906</x:v>
      </x:c>
      <x:c r="D81" s="39"/>
      <x:c r="E81" s="39">
        <x:f>+D81*0.1</x:f>
        <x:v>0</x:v>
      </x:c>
      <x:c r="F81" s="40">
        <x:f>+D81+E81</x:f>
        <x:v>0</x:v>
      </x:c>
      <x:c r="G81" s="18"/>
      <x:c r="H81" s="41" t="s">
        <x:v>151</x:v>
      </x:c>
      <x:c r="I81" s="38" t="s">
        <x:v>1679</x:v>
      </x:c>
      <x:c r="J81" s="38" t="s">
        <x:v>901</x:v>
      </x:c>
      <x:c r="K81" s="39">
        <x:v>35000000</x:v>
      </x:c>
      <x:c r="L81" s="39"/>
      <x:c r="M81" s="40">
        <x:f>+K81+L81</x:f>
        <x:v>35000000</x:v>
      </x:c>
      <x:c r="N81" s="42"/>
    </x:row>
    <x:row r="82" spans="1:14" ht="20.100000000000001" customHeight="1">
      <x:c r="A82" s="298" t="s">
        <x:v>148</x:v>
      </x:c>
      <x:c r="B82" s="19" t="s">
        <x:v>907</x:v>
      </x:c>
      <x:c r="C82" s="19" t="s">
        <x:v>913</x:v>
      </x:c>
      <x:c r="D82" s="20">
        <x:v>48000</x:v>
      </x:c>
      <x:c r="E82" s="20">
        <x:f>+INT(D82*0.1)</x:f>
        <x:v>4800</x:v>
      </x:c>
      <x:c r="F82" s="21">
        <x:f>+D82+E82</x:f>
        <x:v>52800</x:v>
      </x:c>
      <x:c r="G82" s="22"/>
      <x:c r="H82" s="298" t="s">
        <x:v>148</x:v>
      </x:c>
      <x:c r="I82" s="19" t="s">
        <x:v>838</x:v>
      </x:c>
      <x:c r="J82" s="19" t="s">
        <x:v>932</x:v>
      </x:c>
      <x:c r="K82" s="20">
        <x:v>3114200</x:v>
      </x:c>
      <x:c r="L82" s="20">
        <x:f>+K82*0.1</x:f>
        <x:v>311420</x:v>
      </x:c>
      <x:c r="M82" s="21">
        <x:f t="shared" ref="M82:M96" si="13">+K82+L82</x:f>
        <x:v>3425620</x:v>
      </x:c>
      <x:c r="N82" s="22"/>
    </x:row>
    <x:row r="83" spans="1:14" ht="20.100000000000001" customHeight="1">
      <x:c r="A83" s="299"/>
      <x:c r="B83" s="3"/>
      <x:c r="C83" s="3"/>
      <x:c r="D83" s="4"/>
      <x:c r="E83" s="4">
        <x:f t="shared" ref="E83:E95" si="14">+INT(D83*0.1)</x:f>
        <x:v>0</x:v>
      </x:c>
      <x:c r="F83" s="5">
        <x:f>+D83+E83</x:f>
        <x:v>0</x:v>
      </x:c>
      <x:c r="G83" s="6"/>
      <x:c r="H83" s="299"/>
      <x:c r="I83" s="3" t="s">
        <x:v>867</x:v>
      </x:c>
      <x:c r="J83" s="3" t="s">
        <x:v>30</x:v>
      </x:c>
      <x:c r="K83" s="4">
        <x:v>4336650</x:v>
      </x:c>
      <x:c r="L83" s="4">
        <x:f>+K83*0.1</x:f>
        <x:v>433665</x:v>
      </x:c>
      <x:c r="M83" s="5">
        <x:f t="shared" si="13"/>
        <x:v>4770315</x:v>
      </x:c>
      <x:c r="N83" s="6"/>
    </x:row>
    <x:row r="84" spans="1:14" ht="20.100000000000001" customHeight="1">
      <x:c r="A84" s="299"/>
      <x:c r="B84" s="3"/>
      <x:c r="C84" s="3"/>
      <x:c r="D84" s="4"/>
      <x:c r="E84" s="4">
        <x:f t="shared" si="14"/>
        <x:v>0</x:v>
      </x:c>
      <x:c r="F84" s="5">
        <x:f>+D84+E84</x:f>
        <x:v>0</x:v>
      </x:c>
      <x:c r="G84" s="6"/>
      <x:c r="H84" s="299"/>
      <x:c r="I84" s="3" t="s">
        <x:v>34</x:v>
      </x:c>
      <x:c r="J84" s="3" t="s">
        <x:v>325</x:v>
      </x:c>
      <x:c r="K84" s="4">
        <x:v>821500</x:v>
      </x:c>
      <x:c r="L84" s="4">
        <x:f t="shared" ref="L84:L96" si="15">+K84*0.1</x:f>
        <x:v>82150</x:v>
      </x:c>
      <x:c r="M84" s="5">
        <x:f t="shared" si="13"/>
        <x:v>903650</x:v>
      </x:c>
      <x:c r="N84" s="6"/>
    </x:row>
    <x:row r="85" spans="1:14" ht="20.100000000000001" customHeight="1">
      <x:c r="A85" s="299"/>
      <x:c r="B85" s="3"/>
      <x:c r="C85" s="3"/>
      <x:c r="D85" s="4"/>
      <x:c r="E85" s="4">
        <x:f t="shared" si="14"/>
        <x:v>0</x:v>
      </x:c>
      <x:c r="F85" s="5">
        <x:f t="shared" ref="F85:F95" si="16">+D85+E85</x:f>
        <x:v>0</x:v>
      </x:c>
      <x:c r="G85" s="6"/>
      <x:c r="H85" s="299"/>
      <x:c r="I85" s="3" t="s">
        <x:v>840</x:v>
      </x:c>
      <x:c r="J85" s="3" t="s">
        <x:v>918</x:v>
      </x:c>
      <x:c r="K85" s="4">
        <x:v>133600</x:v>
      </x:c>
      <x:c r="L85" s="4">
        <x:f t="shared" si="15"/>
        <x:v>13360</x:v>
      </x:c>
      <x:c r="M85" s="5">
        <x:f t="shared" si="13"/>
        <x:v>146960</x:v>
      </x:c>
      <x:c r="N85" s="6"/>
    </x:row>
    <x:row r="86" spans="1:14" ht="20.100000000000001" customHeight="1">
      <x:c r="A86" s="299"/>
      <x:c r="B86" s="3"/>
      <x:c r="C86" s="3"/>
      <x:c r="D86" s="4"/>
      <x:c r="E86" s="4">
        <x:f t="shared" si="14"/>
        <x:v>0</x:v>
      </x:c>
      <x:c r="F86" s="5">
        <x:f t="shared" si="16"/>
        <x:v>0</x:v>
      </x:c>
      <x:c r="G86" s="6"/>
      <x:c r="H86" s="299"/>
      <x:c r="I86" s="3" t="s">
        <x:v>917</x:v>
      </x:c>
      <x:c r="J86" s="3" t="s">
        <x:v>934</x:v>
      </x:c>
      <x:c r="K86" s="4">
        <x:v>25680000</x:v>
      </x:c>
      <x:c r="L86" s="4">
        <x:f>+K86*0.1</x:f>
        <x:v>2568000</x:v>
      </x:c>
      <x:c r="M86" s="5">
        <x:f>+K86+L86</x:f>
        <x:v>28248000</x:v>
      </x:c>
      <x:c r="N86" s="6"/>
    </x:row>
    <x:row r="87" spans="1:14" ht="20.100000000000001" customHeight="1">
      <x:c r="A87" s="299"/>
      <x:c r="B87" s="3"/>
      <x:c r="C87" s="3"/>
      <x:c r="D87" s="4"/>
      <x:c r="E87" s="4">
        <x:f t="shared" si="14"/>
        <x:v>0</x:v>
      </x:c>
      <x:c r="F87" s="5">
        <x:f t="shared" si="16"/>
        <x:v>0</x:v>
      </x:c>
      <x:c r="G87" s="6"/>
      <x:c r="H87" s="299"/>
      <x:c r="I87" s="3" t="s">
        <x:v>846</x:v>
      </x:c>
      <x:c r="J87" s="3" t="s">
        <x:v>27</x:v>
      </x:c>
      <x:c r="K87" s="4">
        <x:v>5044100</x:v>
      </x:c>
      <x:c r="L87" s="4">
        <x:f>+K87*0.1</x:f>
        <x:v>504410</x:v>
      </x:c>
      <x:c r="M87" s="5">
        <x:f>+K87+L87</x:f>
        <x:v>5548510</x:v>
      </x:c>
      <x:c r="N87" s="6"/>
    </x:row>
    <x:row r="88" spans="1:14" ht="20.100000000000001" customHeight="1">
      <x:c r="A88" s="299"/>
      <x:c r="B88" s="3"/>
      <x:c r="C88" s="3"/>
      <x:c r="D88" s="4"/>
      <x:c r="E88" s="4">
        <x:f t="shared" si="14"/>
        <x:v>0</x:v>
      </x:c>
      <x:c r="F88" s="5">
        <x:f t="shared" si="16"/>
        <x:v>0</x:v>
      </x:c>
      <x:c r="G88" s="6"/>
      <x:c r="H88" s="299"/>
      <x:c r="I88" s="3"/>
      <x:c r="J88" s="3"/>
      <x:c r="K88" s="4"/>
      <x:c r="L88" s="4">
        <x:f t="shared" si="15"/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/>
      <x:c r="C89" s="3"/>
      <x:c r="D89" s="4"/>
      <x:c r="E89" s="4">
        <x:f t="shared" si="14"/>
        <x:v>0</x:v>
      </x:c>
      <x:c r="F89" s="5">
        <x:f t="shared" si="16"/>
        <x:v>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/>
      <x:c r="C90" s="3"/>
      <x:c r="D90" s="4"/>
      <x:c r="E90" s="4">
        <x:f t="shared" si="14"/>
        <x:v>0</x:v>
      </x:c>
      <x:c r="F90" s="5">
        <x:f t="shared" si="16"/>
        <x:v>0</x:v>
      </x:c>
      <x:c r="G90" s="6"/>
      <x:c r="H90" s="299"/>
      <x:c r="I90" s="3"/>
      <x:c r="J90" s="3"/>
      <x:c r="K90" s="4"/>
      <x:c r="L90" s="4">
        <x:f t="shared" si="15"/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 t="shared" si="16"/>
        <x:v>0</x:v>
      </x:c>
      <x:c r="G91" s="6"/>
      <x:c r="H91" s="299"/>
      <x:c r="I91" s="3"/>
      <x:c r="J91" s="3"/>
      <x:c r="K91" s="4"/>
      <x:c r="L91" s="4">
        <x:f t="shared" si="15"/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si="16"/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300"/>
      <x:c r="B96" s="3"/>
      <x:c r="C96" s="3"/>
      <x:c r="D96" s="4"/>
      <x:c r="E96" s="4"/>
      <x:c r="F96" s="5"/>
      <x:c r="G96" s="6"/>
      <x:c r="H96" s="300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7" t="s">
        <x:v>155</x:v>
      </x:c>
      <x:c r="B97" s="8"/>
      <x:c r="C97" s="8"/>
      <x:c r="D97" s="9">
        <x:f>SUM(D82:D96)</x:f>
        <x:v>48000</x:v>
      </x:c>
      <x:c r="E97" s="9">
        <x:f>SUM(E82:E96)</x:f>
        <x:v>4800</x:v>
      </x:c>
      <x:c r="F97" s="10">
        <x:f>SUM(F82:F96)</x:f>
        <x:v>52800</x:v>
      </x:c>
      <x:c r="G97" s="11"/>
      <x:c r="H97" s="7"/>
      <x:c r="I97" s="8"/>
      <x:c r="J97" s="8"/>
      <x:c r="K97" s="9">
        <x:f>SUM(K82:K96)</x:f>
        <x:v>39130050</x:v>
      </x:c>
      <x:c r="L97" s="9">
        <x:f>SUM(L82:L96)</x:f>
        <x:v>3913005</x:v>
      </x:c>
      <x:c r="M97" s="10">
        <x:f>SUM(M82:M96)</x:f>
        <x:v>43043055</x:v>
      </x:c>
      <x:c r="N97" s="11"/>
    </x:row>
    <x:row r="98" spans="1:14" ht="20.100000000000001" customHeight="1">
      <x:c r="A98" s="301" t="s">
        <x:v>153</x:v>
      </x:c>
      <x:c r="B98" s="3"/>
      <x:c r="C98" s="3"/>
      <x:c r="D98" s="44"/>
      <x:c r="E98" s="44">
        <x:f>+D98*0.1</x:f>
        <x:v>0</x:v>
      </x:c>
      <x:c r="F98" s="45">
        <x:f>+D98+E98</x:f>
        <x:v>0</x:v>
      </x:c>
      <x:c r="G98" s="37"/>
      <x:c r="H98" s="301" t="s">
        <x:v>153</x:v>
      </x:c>
      <x:c r="I98" s="3" t="s">
        <x:v>1677</x:v>
      </x:c>
      <x:c r="J98" s="3"/>
      <x:c r="K98" s="4">
        <x:v>9840000</x:v>
      </x:c>
      <x:c r="L98" s="4"/>
      <x:c r="M98" s="5">
        <x:f>+K98+L98</x:f>
        <x:v>9840000</x:v>
      </x:c>
      <x:c r="N98" s="6"/>
    </x:row>
    <x:row r="99" spans="1:14" ht="20.100000000000001" customHeight="1">
      <x:c r="A99" s="299"/>
      <x:c r="B99" s="3"/>
      <x:c r="C99" s="3"/>
      <x:c r="D99" s="44"/>
      <x:c r="E99" s="44">
        <x:f>+D99*0.1</x:f>
        <x:v>0</x:v>
      </x:c>
      <x:c r="F99" s="45">
        <x:f>+D99+E99</x:f>
        <x:v>0</x:v>
      </x:c>
      <x:c r="G99" s="37"/>
      <x:c r="H99" s="299"/>
      <x:c r="I99" s="3"/>
      <x:c r="J99" s="3"/>
      <x:c r="K99" s="4"/>
      <x:c r="L99" s="4">
        <x:f>+K99*0.1</x:f>
        <x:v>0</x:v>
      </x:c>
      <x:c r="M99" s="5">
        <x:f>+K99+L99</x:f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>+K100*0.1</x:f>
        <x:v>0</x:v>
      </x:c>
      <x:c r="M100" s="5">
        <x:f>+K100+L100</x:f>
        <x:v>0</x:v>
      </x:c>
      <x:c r="N100" s="6"/>
    </x:row>
    <x:row r="101" spans="1:14" ht="20.100000000000001" customHeight="1">
      <x:c r="A101" s="300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300"/>
      <x:c r="I101" s="3"/>
      <x:c r="J101" s="3"/>
      <x:c r="K101" s="4"/>
      <x:c r="L101" s="4">
        <x:f>+K101*0.1</x:f>
        <x:v>0</x:v>
      </x:c>
      <x:c r="M101" s="5">
        <x:f>+K101+L101</x:f>
        <x:v>0</x:v>
      </x:c>
      <x:c r="N101" s="6"/>
    </x:row>
    <x:row r="102" spans="1:14" ht="20.100000000000001" customHeight="1">
      <x:c r="A102" s="7" t="s">
        <x:v>155</x:v>
      </x:c>
      <x:c r="B102" s="8"/>
      <x:c r="C102" s="8"/>
      <x:c r="D102" s="9">
        <x:f>SUM(D98:D101)</x:f>
        <x:v>0</x:v>
      </x:c>
      <x:c r="E102" s="9">
        <x:f>SUM(E98:E101)</x:f>
        <x:v>0</x:v>
      </x:c>
      <x:c r="F102" s="10">
        <x:f>SUM(F98:F101)</x:f>
        <x:v>0</x:v>
      </x:c>
      <x:c r="G102" s="11"/>
      <x:c r="H102" s="7"/>
      <x:c r="I102" s="8"/>
      <x:c r="J102" s="8"/>
      <x:c r="K102" s="9">
        <x:f>SUM(K98:K101)</x:f>
        <x:v>9840000</x:v>
      </x:c>
      <x:c r="L102" s="9">
        <x:f>SUM(L98:L101)</x:f>
        <x:v>0</x:v>
      </x:c>
      <x:c r="M102" s="10">
        <x:f>SUM(M98:M101)</x:f>
        <x:v>9840000</x:v>
      </x:c>
      <x:c r="N102" s="11"/>
    </x:row>
    <x:row r="103" spans="1:14" ht="20.100000000000001" customHeight="1">
      <x:c r="A103" s="301" t="s">
        <x:v>187</x:v>
      </x:c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301" t="s">
        <x:v>187</x:v>
      </x:c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299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299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300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300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7" t="s">
        <x:v>155</x:v>
      </x:c>
      <x:c r="B107" s="8"/>
      <x:c r="C107" s="8"/>
      <x:c r="D107" s="9">
        <x:f>SUM(D103:D106)</x:f>
        <x:v>0</x:v>
      </x:c>
      <x:c r="E107" s="9">
        <x:f>SUM(E103:E106)</x:f>
        <x:v>0</x:v>
      </x:c>
      <x:c r="F107" s="10">
        <x:f>SUM(F103:F106)</x:f>
        <x:v>0</x:v>
      </x:c>
      <x:c r="G107" s="11"/>
      <x:c r="H107" s="7"/>
      <x:c r="I107" s="8"/>
      <x:c r="J107" s="8"/>
      <x:c r="K107" s="9">
        <x:f>SUM(K103:K106)</x:f>
        <x:v>0</x:v>
      </x:c>
      <x:c r="L107" s="9">
        <x:f>SUM(L103:L106)</x:f>
        <x:v>0</x:v>
      </x:c>
      <x:c r="M107" s="10">
        <x:f>SUM(M103:M106)</x:f>
        <x:v>0</x:v>
      </x:c>
      <x:c r="N107" s="11"/>
    </x:row>
    <x:row r="108" spans="1:14" ht="20.100000000000001" customHeight="1">
      <x:c r="A108" s="301" t="s">
        <x:v>149</x:v>
      </x:c>
      <x:c r="B108" s="3"/>
      <x:c r="C108" s="3"/>
      <x:c r="D108" s="4"/>
      <x:c r="E108" s="4"/>
      <x:c r="F108" s="5">
        <x:f>+D108+E108</x:f>
        <x:v>0</x:v>
      </x:c>
      <x:c r="G108" s="6"/>
      <x:c r="H108" s="301" t="s">
        <x:v>149</x:v>
      </x:c>
      <x:c r="I108" s="3" t="s">
        <x:v>923</x:v>
      </x:c>
      <x:c r="J108" s="3"/>
      <x:c r="K108" s="4"/>
      <x:c r="L108" s="4">
        <x:f>+K108*0.1</x:f>
        <x:v>0</x:v>
      </x:c>
      <x:c r="M108" s="5">
        <x:f t="shared" ref="M108:M115" si="17">+K108+L108</x:f>
        <x:v>0</x:v>
      </x:c>
      <x:c r="N108" s="6" t="s">
        <x:v>921</x:v>
      </x:c>
    </x:row>
    <x:row r="109" spans="1:14" ht="20.100000000000001" customHeight="1">
      <x:c r="A109" s="299"/>
      <x:c r="B109" s="3"/>
      <x:c r="C109" s="3"/>
      <x:c r="D109" s="4"/>
      <x:c r="E109" s="4"/>
      <x:c r="F109" s="5">
        <x:f>+D109+E109</x:f>
        <x:v>0</x:v>
      </x:c>
      <x:c r="G109" s="6"/>
      <x:c r="H109" s="299"/>
      <x:c r="I109" s="3" t="s">
        <x:v>938</x:v>
      </x:c>
      <x:c r="J109" s="3" t="s">
        <x:v>935</x:v>
      </x:c>
      <x:c r="K109" s="4">
        <x:v>1114500</x:v>
      </x:c>
      <x:c r="L109" s="4">
        <x:f t="shared" ref="L109:L115" si="18">+K109*0.1</x:f>
        <x:v>111450</x:v>
      </x:c>
      <x:c r="M109" s="5">
        <x:f t="shared" si="17"/>
        <x:v>1225950</x:v>
      </x:c>
      <x:c r="N109" s="6"/>
    </x:row>
    <x:row r="110" spans="1:14" ht="20.100000000000001" customHeight="1">
      <x:c r="A110" s="299"/>
      <x:c r="B110" s="3"/>
      <x:c r="C110" s="3"/>
      <x:c r="D110" s="4"/>
      <x:c r="E110" s="4"/>
      <x:c r="F110" s="5">
        <x:f>+D110+E110</x:f>
        <x:v>0</x:v>
      </x:c>
      <x:c r="G110" s="6"/>
      <x:c r="H110" s="299"/>
      <x:c r="I110" s="3" t="s">
        <x:v>920</x:v>
      </x:c>
      <x:c r="J110" s="3" t="s">
        <x:v>189</x:v>
      </x:c>
      <x:c r="K110" s="4">
        <x:v>410750</x:v>
      </x:c>
      <x:c r="L110" s="4">
        <x:f t="shared" si="18"/>
        <x:v>41075</x:v>
      </x:c>
      <x:c r="M110" s="5">
        <x:f t="shared" si="17"/>
        <x:v>451825</x:v>
      </x:c>
      <x:c r="N110" s="6"/>
    </x:row>
    <x:row r="111" spans="1:14" ht="20.100000000000001" customHeight="1">
      <x:c r="A111" s="299"/>
      <x:c r="B111" s="3"/>
      <x:c r="C111" s="3"/>
      <x:c r="D111" s="4"/>
      <x:c r="E111" s="4"/>
      <x:c r="F111" s="5">
        <x:f t="shared" ref="F111:F117" si="19">+D111+E111</x:f>
        <x:v>0</x:v>
      </x:c>
      <x:c r="G111" s="6"/>
      <x:c r="H111" s="299"/>
      <x:c r="I111" s="3" t="s">
        <x:v>169</x:v>
      </x:c>
      <x:c r="J111" s="3" t="s">
        <x:v>149</x:v>
      </x:c>
      <x:c r="K111" s="4">
        <x:f>60000+1502160</x:f>
        <x:v>1562160</x:v>
      </x:c>
      <x:c r="L111" s="4"/>
      <x:c r="M111" s="5">
        <x:f t="shared" si="17"/>
        <x:v>1562160</x:v>
      </x:c>
      <x:c r="N111" s="6"/>
    </x:row>
    <x:row r="112" spans="1:14" ht="20.100000000000001" customHeight="1">
      <x:c r="A112" s="299"/>
      <x:c r="B112" s="3"/>
      <x:c r="C112" s="3"/>
      <x:c r="D112" s="4"/>
      <x:c r="E112" s="4"/>
      <x:c r="F112" s="5">
        <x:f t="shared" si="19"/>
        <x:v>0</x:v>
      </x:c>
      <x:c r="G112" s="6"/>
      <x:c r="H112" s="299"/>
      <x:c r="I112" s="3" t="s">
        <x:v>952</x:v>
      </x:c>
      <x:c r="J112" s="3" t="s">
        <x:v>28</x:v>
      </x:c>
      <x:c r="K112" s="4">
        <x:v>424727</x:v>
      </x:c>
      <x:c r="L112" s="4">
        <x:f t="shared" si="18"/>
        <x:v>42472.700000000004</x:v>
      </x:c>
      <x:c r="M112" s="5">
        <x:f t="shared" si="17"/>
        <x:v>467199.70000000001</x:v>
      </x:c>
      <x:c r="N112" s="6"/>
    </x:row>
    <x:row r="113" spans="1:14" ht="20.100000000000001" customHeight="1">
      <x:c r="A113" s="299"/>
      <x:c r="B113" s="3"/>
      <x:c r="C113" s="3"/>
      <x:c r="D113" s="4"/>
      <x:c r="E113" s="4"/>
      <x:c r="F113" s="5">
        <x:f t="shared" si="19"/>
        <x:v>0</x:v>
      </x:c>
      <x:c r="G113" s="6"/>
      <x:c r="H113" s="299"/>
      <x:c r="I113" s="3" t="s">
        <x:v>959</x:v>
      </x:c>
      <x:c r="J113" s="3" t="s">
        <x:v>825</x:v>
      </x:c>
      <x:c r="K113" s="4">
        <x:v>345000</x:v>
      </x:c>
      <x:c r="L113" s="4">
        <x:f t="shared" si="18"/>
        <x:v>34500</x:v>
      </x:c>
      <x:c r="M113" s="5">
        <x:f t="shared" si="17"/>
        <x:v>379500</x:v>
      </x:c>
      <x:c r="N113" s="6"/>
    </x:row>
    <x:row r="114" spans="1:14" ht="20.100000000000001" customHeight="1">
      <x:c r="A114" s="299"/>
      <x:c r="B114" s="3"/>
      <x:c r="C114" s="3"/>
      <x:c r="D114" s="4"/>
      <x:c r="E114" s="4"/>
      <x:c r="F114" s="5">
        <x:f t="shared" si="19"/>
        <x:v>0</x:v>
      </x:c>
      <x:c r="G114" s="6"/>
      <x:c r="H114" s="299"/>
      <x:c r="I114" s="3"/>
      <x:c r="J114" s="3"/>
      <x:c r="K114" s="4"/>
      <x:c r="L114" s="4">
        <x:f t="shared" si="18"/>
        <x:v>0</x:v>
      </x:c>
      <x:c r="M114" s="5">
        <x:f t="shared" si="17"/>
        <x:v>0</x:v>
      </x:c>
      <x:c r="N114" s="6"/>
    </x:row>
    <x:row r="115" spans="1:14" ht="20.100000000000001" customHeight="1">
      <x:c r="A115" s="299"/>
      <x:c r="B115" s="3"/>
      <x:c r="C115" s="3"/>
      <x:c r="D115" s="4"/>
      <x:c r="E115" s="4"/>
      <x:c r="F115" s="5">
        <x:f t="shared" si="19"/>
        <x:v>0</x:v>
      </x:c>
      <x:c r="G115" s="6"/>
      <x:c r="H115" s="299"/>
      <x:c r="I115" s="3"/>
      <x:c r="J115" s="3"/>
      <x:c r="K115" s="4"/>
      <x:c r="L115" s="4">
        <x:f t="shared" si="18"/>
        <x:v>0</x:v>
      </x:c>
      <x:c r="M115" s="5">
        <x:f t="shared" si="17"/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19"/>
        <x:v>0</x:v>
      </x:c>
      <x:c r="G116" s="6"/>
      <x:c r="H116" s="299"/>
      <x:c r="I116" s="3"/>
      <x:c r="J116" s="3"/>
      <x:c r="K116" s="4"/>
      <x:c r="L116" s="4"/>
      <x:c r="M116" s="5"/>
      <x:c r="N116" s="6"/>
    </x:row>
    <x:row r="117" spans="1:14" ht="20.100000000000001" customHeight="1">
      <x:c r="A117" s="300"/>
      <x:c r="B117" s="3"/>
      <x:c r="C117" s="3"/>
      <x:c r="D117" s="4"/>
      <x:c r="E117" s="4"/>
      <x:c r="F117" s="5">
        <x:f t="shared" si="19"/>
        <x:v>0</x:v>
      </x:c>
      <x:c r="G117" s="6"/>
      <x:c r="H117" s="300"/>
      <x:c r="I117" s="3"/>
      <x:c r="J117" s="3"/>
      <x:c r="K117" s="4"/>
      <x:c r="L117" s="4">
        <x:f>+K117*0.1</x:f>
        <x:v>0</x:v>
      </x:c>
      <x:c r="M117" s="5">
        <x:f>+K117+L117</x:f>
        <x:v>0</x:v>
      </x:c>
      <x:c r="N117" s="6"/>
    </x:row>
    <x:row r="118" spans="1:14" ht="20.100000000000001" customHeight="1">
      <x:c r="A118" s="7" t="s">
        <x:v>155</x:v>
      </x:c>
      <x:c r="B118" s="8"/>
      <x:c r="C118" s="8"/>
      <x:c r="D118" s="9">
        <x:f>SUM(D108:D117)</x:f>
        <x:v>0</x:v>
      </x:c>
      <x:c r="E118" s="9">
        <x:f>SUM(E108:E117)</x:f>
        <x:v>0</x:v>
      </x:c>
      <x:c r="F118" s="10">
        <x:f>SUM(F108:F117)</x:f>
        <x:v>0</x:v>
      </x:c>
      <x:c r="G118" s="11"/>
      <x:c r="H118" s="7"/>
      <x:c r="I118" s="8"/>
      <x:c r="J118" s="8"/>
      <x:c r="K118" s="9">
        <x:f>SUM(K108:K117)</x:f>
        <x:v>3857137</x:v>
      </x:c>
      <x:c r="L118" s="9">
        <x:f>SUM(L108:L117)</x:f>
        <x:v>229497.70000000001</x:v>
      </x:c>
      <x:c r="M118" s="10">
        <x:f>SUM(M108:M117)</x:f>
        <x:v>4086634.7000000002</x:v>
      </x:c>
      <x:c r="N118" s="11"/>
    </x:row>
    <x:row r="119" spans="1:14" ht="20.100000000000001" customHeight="1">
      <x:c r="A119" s="12" t="s">
        <x:v>1690</x:v>
      </x:c>
      <x:c r="B119" s="13"/>
      <x:c r="C119" s="13"/>
      <x:c r="D119" s="14">
        <x:f>+D97+D102+D107+D118</x:f>
        <x:v>48000</x:v>
      </x:c>
      <x:c r="E119" s="14">
        <x:f>+E97+E102+E107+E118</x:f>
        <x:v>4800</x:v>
      </x:c>
      <x:c r="F119" s="15">
        <x:f>+F97+F102+F107+F118</x:f>
        <x:v>52800</x:v>
      </x:c>
      <x:c r="G119" s="16"/>
      <x:c r="H119" s="12"/>
      <x:c r="I119" s="13"/>
      <x:c r="J119" s="13"/>
      <x:c r="K119" s="14">
        <x:f>+K97+K102+K107+K118</x:f>
        <x:v>52827187</x:v>
      </x:c>
      <x:c r="L119" s="14">
        <x:f>+L97+L102+L107+L118</x:f>
        <x:v>4142502.7000000002</x:v>
      </x:c>
      <x:c r="M119" s="15">
        <x:f>+M97+M102+M107+M118</x:f>
        <x:v>56969689.700000003</x:v>
      </x:c>
      <x:c r="N119" s="16"/>
    </x:row>
    <x:row r="120" spans="1:14" ht="20.100000000000001" customHeight="1">
      <x:c r="A120" s="23" t="s">
        <x:v>35</x:v>
      </x:c>
      <x:c r="B120" s="24"/>
      <x:c r="C120" s="24"/>
      <x:c r="D120" s="25">
        <x:f>+D81-D119</x:f>
        <x:v>-48000</x:v>
      </x:c>
      <x:c r="E120" s="25">
        <x:f>+E81-E119</x:f>
        <x:v>-4800</x:v>
      </x:c>
      <x:c r="F120" s="26">
        <x:f>+F81-F119</x:f>
        <x:v>-52800</x:v>
      </x:c>
      <x:c r="G120" s="27"/>
      <x:c r="H120" s="23"/>
      <x:c r="I120" s="24"/>
      <x:c r="J120" s="24"/>
      <x:c r="K120" s="25">
        <x:f>+K81-K119</x:f>
        <x:v>-17827187</x:v>
      </x:c>
      <x:c r="L120" s="25">
        <x:f>+L81-L119</x:f>
        <x:v>-4142502.7000000002</x:v>
      </x:c>
      <x:c r="M120" s="26">
        <x:f>+M81-M119</x:f>
        <x:v>-21969689.700000003</x:v>
      </x:c>
      <x:c r="N120" s="27"/>
    </x:row>
  </x:sheetData>
  <x:mergeCells count="31">
    <x:mergeCell ref="A14:A17"/>
    <x:mergeCell ref="H14:H17"/>
    <x:mergeCell ref="A1:N1"/>
    <x:mergeCell ref="A2:G2"/>
    <x:mergeCell ref="H2:N2"/>
    <x:mergeCell ref="A5:A12"/>
    <x:mergeCell ref="H5:H12"/>
    <x:mergeCell ref="A19:A22"/>
    <x:mergeCell ref="H19:H22"/>
    <x:mergeCell ref="A24:A33"/>
    <x:mergeCell ref="H24:H33"/>
    <x:mergeCell ref="A37:G37"/>
    <x:mergeCell ref="H37:N37"/>
    <x:mergeCell ref="A40:A54"/>
    <x:mergeCell ref="H40:H54"/>
    <x:mergeCell ref="A56:A59"/>
    <x:mergeCell ref="H56:H59"/>
    <x:mergeCell ref="A61:A64"/>
    <x:mergeCell ref="H61:H64"/>
    <x:mergeCell ref="A66:A75"/>
    <x:mergeCell ref="H66:H75"/>
    <x:mergeCell ref="A79:G79"/>
    <x:mergeCell ref="H79:N79"/>
    <x:mergeCell ref="A82:A96"/>
    <x:mergeCell ref="H82:H96"/>
    <x:mergeCell ref="A98:A101"/>
    <x:mergeCell ref="H98:H101"/>
    <x:mergeCell ref="A103:A106"/>
    <x:mergeCell ref="H103:H106"/>
    <x:mergeCell ref="A108:A117"/>
    <x:mergeCell ref="H108:H11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36" min="0" max="1048575" man="1" pt="0"/>
  </x:rowBreaks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N127"/>
  <x:sheetViews>
    <x:sheetView view="pageBreakPreview" topLeftCell="A1" zoomScaleNormal="100" zoomScaleSheetLayoutView="100" workbookViewId="0">
      <x:selection activeCell="G16" activeCellId="0" sqref="G16:G1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1" t="s">
        <x:v>151</x:v>
      </x:c>
      <x:c r="B4" s="38" t="s">
        <x:v>1679</x:v>
      </x:c>
      <x:c r="C4" s="38" t="s">
        <x:v>1678</x:v>
      </x:c>
      <x:c r="D4" s="39">
        <x:v>227300000</x:v>
      </x:c>
      <x:c r="E4" s="39">
        <x:v>10700000</x:v>
      </x:c>
      <x:c r="F4" s="40">
        <x:f t="shared" ref="F4:F11" si="0">+D4+E4</x:f>
        <x:v>238000000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30000000</x:v>
      </x:c>
      <x:c r="L4" s="39"/>
      <x:c r="M4" s="40">
        <x:f>+K4+L4</x:f>
        <x:v>30000000</x:v>
      </x:c>
      <x:c r="N4" s="42"/>
    </x:row>
    <x:row r="5" spans="1:14" ht="20.100000000000001" customHeight="1">
      <x:c r="A5" s="298" t="s">
        <x:v>148</x:v>
      </x:c>
      <x:c r="B5" s="19" t="s">
        <x:v>34</x:v>
      </x:c>
      <x:c r="C5" s="19" t="s">
        <x:v>29</x:v>
      </x:c>
      <x:c r="D5" s="20">
        <x:v>315000</x:v>
      </x:c>
      <x:c r="E5" s="20">
        <x:f>+INT(D5*0.1)</x:f>
        <x:v>31500</x:v>
      </x:c>
      <x:c r="F5" s="21">
        <x:f t="shared" si="0"/>
        <x:v>346500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2807154</x:v>
      </x:c>
      <x:c r="L5" s="20">
        <x:f t="shared" ref="L5:L10" si="1">+K5*0.1</x:f>
        <x:v>280715.40000000002</x:v>
      </x:c>
      <x:c r="M5" s="21">
        <x:f t="shared" ref="M5:M17" si="2">+K5+L5</x:f>
        <x:v>3087869.3999999999</x:v>
      </x:c>
      <x:c r="N5" s="22"/>
    </x:row>
    <x:row r="6" spans="1:14" ht="20.100000000000001" customHeight="1">
      <x:c r="A6" s="299"/>
      <x:c r="B6" s="3" t="s">
        <x:v>867</x:v>
      </x:c>
      <x:c r="C6" s="3" t="s">
        <x:v>33</x:v>
      </x:c>
      <x:c r="D6" s="4">
        <x:v>17911254</x:v>
      </x:c>
      <x:c r="E6" s="4">
        <x:f t="shared" ref="E6:E11" si="3">+INT(D6*0.1)</x:f>
        <x:v>1791125</x:v>
      </x:c>
      <x:c r="F6" s="5">
        <x:f t="shared" si="0"/>
        <x:v>19702379</x:v>
      </x:c>
      <x:c r="G6" s="6"/>
      <x:c r="H6" s="299"/>
      <x:c r="I6" s="3" t="s">
        <x:v>867</x:v>
      </x:c>
      <x:c r="J6" s="3" t="s">
        <x:v>30</x:v>
      </x:c>
      <x:c r="K6" s="4">
        <x:v>6351300</x:v>
      </x:c>
      <x:c r="L6" s="4">
        <x:f t="shared" si="1"/>
        <x:v>635130</x:v>
      </x:c>
      <x:c r="M6" s="5">
        <x:f t="shared" si="2"/>
        <x:v>6986430</x:v>
      </x:c>
      <x:c r="N6" s="6"/>
    </x:row>
    <x:row r="7" spans="1:14" ht="20.100000000000001" customHeight="1">
      <x:c r="A7" s="299"/>
      <x:c r="B7" s="3" t="s">
        <x:v>840</x:v>
      </x:c>
      <x:c r="C7" s="3" t="s">
        <x:v>970</x:v>
      </x:c>
      <x:c r="D7" s="4">
        <x:v>378000</x:v>
      </x:c>
      <x:c r="E7" s="4">
        <x:f t="shared" si="3"/>
        <x:v>37800</x:v>
      </x:c>
      <x:c r="F7" s="5">
        <x:f t="shared" si="0"/>
        <x:v>415800</x:v>
      </x:c>
      <x:c r="G7" s="6"/>
      <x:c r="H7" s="299"/>
      <x:c r="I7" s="3" t="s">
        <x:v>34</x:v>
      </x:c>
      <x:c r="J7" s="3" t="s">
        <x:v>325</x:v>
      </x:c>
      <x:c r="K7" s="4">
        <x:v>2635650</x:v>
      </x:c>
      <x:c r="L7" s="4">
        <x:f t="shared" si="1"/>
        <x:v>263565</x:v>
      </x:c>
      <x:c r="M7" s="5">
        <x:f t="shared" si="2"/>
        <x:v>2899215</x:v>
      </x:c>
      <x:c r="N7" s="6"/>
    </x:row>
    <x:row r="8" spans="1:14" ht="20.100000000000001" customHeight="1">
      <x:c r="A8" s="299"/>
      <x:c r="B8" s="3" t="s">
        <x:v>854</x:v>
      </x:c>
      <x:c r="C8" s="3" t="s">
        <x:v>340</x:v>
      </x:c>
      <x:c r="D8" s="4">
        <x:v>1331360</x:v>
      </x:c>
      <x:c r="E8" s="4">
        <x:f t="shared" si="3"/>
        <x:v>133136</x:v>
      </x:c>
      <x:c r="F8" s="5">
        <x:f t="shared" si="0"/>
        <x:v>1464496</x:v>
      </x:c>
      <x:c r="G8" s="6"/>
      <x:c r="H8" s="299"/>
      <x:c r="I8" s="3" t="s">
        <x:v>840</x:v>
      </x:c>
      <x:c r="J8" s="3" t="s">
        <x:v>31</x:v>
      </x:c>
      <x:c r="K8" s="4">
        <x:v>9000</x:v>
      </x:c>
      <x:c r="L8" s="4">
        <x:f t="shared" si="1"/>
        <x:v>900</x:v>
      </x:c>
      <x:c r="M8" s="5">
        <x:f t="shared" si="2"/>
        <x:v>9900</x:v>
      </x:c>
      <x:c r="N8" s="6"/>
    </x:row>
    <x:row r="9" spans="1:14" ht="20.100000000000001" customHeight="1">
      <x:c r="A9" s="299"/>
      <x:c r="B9" s="3" t="s">
        <x:v>864</x:v>
      </x:c>
      <x:c r="C9" s="3" t="s">
        <x:v>77</x:v>
      </x:c>
      <x:c r="D9" s="4">
        <x:v>117920</x:v>
      </x:c>
      <x:c r="E9" s="4">
        <x:f t="shared" si="3"/>
        <x:v>11792</x:v>
      </x:c>
      <x:c r="F9" s="5">
        <x:f t="shared" si="0"/>
        <x:v>129712</x:v>
      </x:c>
      <x:c r="G9" s="6"/>
      <x:c r="H9" s="299"/>
      <x:c r="I9" s="3" t="s">
        <x:v>968</x:v>
      </x:c>
      <x:c r="J9" s="3" t="s">
        <x:v>341</x:v>
      </x:c>
      <x:c r="K9" s="4">
        <x:v>395000</x:v>
      </x:c>
      <x:c r="L9" s="4">
        <x:f t="shared" si="1"/>
        <x:v>39500</x:v>
      </x:c>
      <x:c r="M9" s="5">
        <x:f t="shared" si="2"/>
        <x:v>434500</x:v>
      </x:c>
      <x:c r="N9" s="6"/>
    </x:row>
    <x:row r="10" spans="1:14" ht="20.100000000000001" customHeight="1">
      <x:c r="A10" s="299"/>
      <x:c r="B10" s="3" t="s">
        <x:v>846</x:v>
      </x:c>
      <x:c r="C10" s="3" t="s">
        <x:v>944</x:v>
      </x:c>
      <x:c r="D10" s="4">
        <x:v>2146500</x:v>
      </x:c>
      <x:c r="E10" s="4">
        <x:f t="shared" si="3"/>
        <x:v>214650</x:v>
      </x:c>
      <x:c r="F10" s="5">
        <x:f t="shared" si="0"/>
        <x:v>2361150</x:v>
      </x:c>
      <x:c r="G10" s="6"/>
      <x:c r="H10" s="299"/>
      <x:c r="I10" s="3" t="s">
        <x:v>846</x:v>
      </x:c>
      <x:c r="J10" s="3" t="s">
        <x:v>32</x:v>
      </x:c>
      <x:c r="K10" s="4">
        <x:v>1324800</x:v>
      </x:c>
      <x:c r="L10" s="4">
        <x:f t="shared" si="1"/>
        <x:v>132480</x:v>
      </x:c>
      <x:c r="M10" s="5">
        <x:f t="shared" si="2"/>
        <x:v>1457280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3"/>
        <x:v>0</x:v>
      </x:c>
      <x:c r="F11" s="5">
        <x:f t="shared" si="0"/>
        <x:v>0</x:v>
      </x:c>
      <x:c r="G11" s="6"/>
      <x:c r="H11" s="299"/>
      <x:c r="I11" s="3" t="s">
        <x:v>965</x:v>
      </x:c>
      <x:c r="J11" s="3" t="s">
        <x:v>961</x:v>
      </x:c>
      <x:c r="K11" s="4">
        <x:v>175000</x:v>
      </x:c>
      <x:c r="L11" s="4">
        <x:f>+INT(K11*0.1)</x:f>
        <x:v>17500</x:v>
      </x:c>
      <x:c r="M11" s="5">
        <x:f t="shared" si="2"/>
        <x:v>192500</x:v>
      </x:c>
      <x:c r="N11" s="6"/>
    </x:row>
    <x:row r="12" spans="1:14" ht="20.100000000000001" customHeight="1">
      <x:c r="A12" s="300"/>
      <x:c r="B12" s="3"/>
      <x:c r="C12" s="3"/>
      <x:c r="D12" s="4"/>
      <x:c r="E12" s="4"/>
      <x:c r="F12" s="5"/>
      <x:c r="G12" s="6"/>
      <x:c r="H12" s="300"/>
      <x:c r="I12" s="3"/>
      <x:c r="J12" s="3"/>
      <x:c r="K12" s="4"/>
      <x:c r="L12" s="4">
        <x:f t="shared" ref="L12:L17" si="4">+K12*0.1</x:f>
        <x:v>0</x:v>
      </x:c>
      <x:c r="M12" s="5">
        <x:f t="shared" si="2"/>
        <x:v>0</x:v>
      </x:c>
      <x:c r="N12" s="6"/>
    </x:row>
    <x:row r="13" spans="1:14" ht="20.100000000000001" customHeight="1">
      <x:c r="A13" s="7" t="s">
        <x:v>155</x:v>
      </x:c>
      <x:c r="B13" s="8"/>
      <x:c r="C13" s="8"/>
      <x:c r="D13" s="9">
        <x:f>SUM(D5:D12)</x:f>
        <x:v>22200034</x:v>
      </x:c>
      <x:c r="E13" s="9">
        <x:f>SUM(E5:E12)</x:f>
        <x:v>2220003</x:v>
      </x:c>
      <x:c r="F13" s="10">
        <x:f>SUM(F5:F12)</x:f>
        <x:v>24420037</x:v>
      </x:c>
      <x:c r="G13" s="11"/>
      <x:c r="H13" s="7"/>
      <x:c r="I13" s="8"/>
      <x:c r="J13" s="8"/>
      <x:c r="K13" s="9">
        <x:f>SUM(K5:K12)</x:f>
        <x:v>13697904</x:v>
      </x:c>
      <x:c r="L13" s="9">
        <x:f>SUM(L5:L12)</x:f>
        <x:v>1369790.3999999999</x:v>
      </x:c>
      <x:c r="M13" s="10">
        <x:f>SUM(M5:M12)</x:f>
        <x:v>15067694.4</x:v>
      </x:c>
      <x:c r="N13" s="11"/>
    </x:row>
    <x:row r="14" spans="1:14" ht="20.100000000000001" customHeight="1">
      <x:c r="A14" s="301" t="s">
        <x:v>153</x:v>
      </x:c>
      <x:c r="B14" s="3" t="s">
        <x:v>1677</x:v>
      </x:c>
      <x:c r="C14" s="3"/>
      <x:c r="D14" s="44">
        <x:v>38505000</x:v>
      </x:c>
      <x:c r="E14" s="44"/>
      <x:c r="F14" s="45">
        <x:f>+D14+E14</x:f>
        <x:v>38505000</x:v>
      </x:c>
      <x:c r="G14" s="37"/>
      <x:c r="H14" s="301" t="s">
        <x:v>153</x:v>
      </x:c>
      <x:c r="I14" s="3" t="s">
        <x:v>1677</x:v>
      </x:c>
      <x:c r="J14" s="3"/>
      <x:c r="K14" s="4">
        <x:v>18898500</x:v>
      </x:c>
      <x:c r="L14" s="4"/>
      <x:c r="M14" s="5">
        <x:f t="shared" si="2"/>
        <x:v>18898500</x:v>
      </x:c>
      <x:c r="N14" s="6"/>
    </x:row>
    <x:row r="15" spans="1:14" ht="20.100000000000001" customHeight="1">
      <x:c r="A15" s="299"/>
      <x:c r="B15" s="3" t="s">
        <x:v>922</x:v>
      </x:c>
      <x:c r="C15" s="3" t="s">
        <x:v>911</x:v>
      </x:c>
      <x:c r="D15" s="4">
        <x:v>21600000</x:v>
      </x:c>
      <x:c r="E15" s="4"/>
      <x:c r="F15" s="5">
        <x:f>+D15+E15</x:f>
        <x:v>21600000</x:v>
      </x:c>
      <x:c r="G15" s="37"/>
      <x:c r="H15" s="299"/>
      <x:c r="I15" s="3" t="s">
        <x:v>960</x:v>
      </x:c>
      <x:c r="J15" s="3" t="s">
        <x:v>950</x:v>
      </x:c>
      <x:c r="K15" s="4">
        <x:v>2000000</x:v>
      </x:c>
      <x:c r="L15" s="4">
        <x:f>+K15*0.1</x:f>
        <x:v>200000</x:v>
      </x:c>
      <x:c r="M15" s="5">
        <x:f t="shared" si="2"/>
        <x:v>2200000</x:v>
      </x:c>
      <x:c r="N15" s="6"/>
    </x:row>
    <x:row r="16" spans="1:14" ht="20.100000000000001" customHeight="1">
      <x:c r="A16" s="299"/>
      <x:c r="B16" s="3" t="s">
        <x:v>956</x:v>
      </x:c>
      <x:c r="C16" s="3" t="s">
        <x:v>966</x:v>
      </x:c>
      <x:c r="D16" s="4">
        <x:v>400000</x:v>
      </x:c>
      <x:c r="E16" s="4">
        <x:f>+INT(D16*0.1)</x:f>
        <x:v>40000</x:v>
      </x:c>
      <x:c r="F16" s="5">
        <x:f>+D16+E16</x:f>
        <x:v>440000</x:v>
      </x:c>
      <x:c r="G16" s="6"/>
      <x:c r="H16" s="299"/>
      <x:c r="I16" s="3"/>
      <x:c r="J16" s="3"/>
      <x:c r="K16" s="4"/>
      <x:c r="L16" s="4">
        <x:f t="shared" si="4"/>
        <x:v>0</x:v>
      </x:c>
      <x:c r="M16" s="5">
        <x:f t="shared" si="2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>
        <x:f>+D17*0.1</x:f>
        <x:v>0</x:v>
      </x:c>
      <x:c r="F17" s="5">
        <x:f>+D17+E17</x:f>
        <x:v>0</x:v>
      </x:c>
      <x:c r="G17" s="6"/>
      <x:c r="H17" s="300"/>
      <x:c r="I17" s="3"/>
      <x:c r="J17" s="3"/>
      <x:c r="K17" s="4"/>
      <x:c r="L17" s="4">
        <x:f t="shared" si="4"/>
        <x:v>0</x:v>
      </x:c>
      <x:c r="M17" s="5">
        <x:f t="shared" si="2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SUM(D14:D17)</x:f>
        <x:v>60505000</x:v>
      </x:c>
      <x:c r="E18" s="9">
        <x:f>SUM(E14:E17)</x:f>
        <x:v>40000</x:v>
      </x:c>
      <x:c r="F18" s="10">
        <x:f>SUM(F14:F17)</x:f>
        <x:v>60545000</x:v>
      </x:c>
      <x:c r="G18" s="11"/>
      <x:c r="H18" s="7"/>
      <x:c r="I18" s="8"/>
      <x:c r="J18" s="8"/>
      <x:c r="K18" s="9">
        <x:f>SUM(K14:K17)</x:f>
        <x:v>20898500</x:v>
      </x:c>
      <x:c r="L18" s="9">
        <x:f>SUM(L14:L17)</x:f>
        <x:v>200000</x:v>
      </x:c>
      <x:c r="M18" s="10">
        <x:f>SUM(M14:M17)</x:f>
        <x:v>21098500</x:v>
      </x:c>
      <x:c r="N18" s="11"/>
    </x:row>
    <x:row r="19" spans="1:14" ht="20.100000000000001" customHeight="1">
      <x:c r="A19" s="301" t="s">
        <x:v>187</x:v>
      </x:c>
      <x:c r="B19" s="3" t="s">
        <x:v>1693</x:v>
      </x:c>
      <x:c r="C19" s="3" t="s">
        <x:v>948</x:v>
      </x:c>
      <x:c r="D19" s="4">
        <x:v>250000</x:v>
      </x:c>
      <x:c r="E19" s="4">
        <x:f>+D19*0.1</x:f>
        <x:v>25000</x:v>
      </x:c>
      <x:c r="F19" s="5">
        <x:f>+D19+E19</x:f>
        <x:v>275000</x:v>
      </x:c>
      <x:c r="G19" s="6"/>
      <x:c r="H19" s="301" t="s">
        <x:v>187</x:v>
      </x:c>
      <x:c r="I19" s="3"/>
      <x:c r="J19" s="3"/>
      <x:c r="K19" s="4"/>
      <x:c r="L19" s="4">
        <x:f>+K19*0.1</x:f>
        <x:v>0</x:v>
      </x:c>
      <x:c r="M19" s="5">
        <x:f>+K19+L19</x:f>
        <x:v>0</x:v>
      </x:c>
      <x:c r="N19" s="6"/>
    </x:row>
    <x:row r="20" spans="1:14" ht="20.100000000000001" customHeight="1">
      <x:c r="A20" s="299"/>
      <x:c r="B20" s="3" t="s">
        <x:v>857</x:v>
      </x:c>
      <x:c r="C20" s="3" t="s">
        <x:v>971</x:v>
      </x:c>
      <x:c r="D20" s="4">
        <x:v>260000</x:v>
      </x:c>
      <x:c r="E20" s="4">
        <x:f>+D20*0.1</x:f>
        <x:v>26000</x:v>
      </x:c>
      <x:c r="F20" s="5">
        <x:f>+D20+E20</x:f>
        <x:v>286000</x:v>
      </x:c>
      <x:c r="G20" s="6"/>
      <x:c r="H20" s="299"/>
      <x:c r="I20" s="3"/>
      <x:c r="J20" s="3"/>
      <x:c r="K20" s="4"/>
      <x:c r="L20" s="4">
        <x:f>+K20*0.1</x:f>
        <x:v>0</x:v>
      </x:c>
      <x:c r="M20" s="5">
        <x:f>+K20+L20</x:f>
        <x:v>0</x:v>
      </x:c>
      <x:c r="N20" s="6"/>
    </x:row>
    <x:row r="21" spans="1:14" ht="20.100000000000001" customHeight="1">
      <x:c r="A21" s="299"/>
      <x:c r="B21" s="3" t="s">
        <x:v>949</x:v>
      </x:c>
      <x:c r="C21" s="3" t="s">
        <x:v>946</x:v>
      </x:c>
      <x:c r="D21" s="4">
        <x:v>600000</x:v>
      </x:c>
      <x:c r="E21" s="4">
        <x:f>+D21*0.1</x:f>
        <x:v>60000</x:v>
      </x:c>
      <x:c r="F21" s="5">
        <x:f>+D21+E21</x:f>
        <x:v>660000</x:v>
      </x:c>
      <x:c r="G21" s="6"/>
      <x:c r="H21" s="299"/>
      <x:c r="I21" s="3"/>
      <x:c r="J21" s="3"/>
      <x:c r="K21" s="4"/>
      <x:c r="L21" s="4">
        <x:f>+K21*0.1</x:f>
        <x:v>0</x:v>
      </x:c>
      <x:c r="M21" s="5">
        <x:f>+K21+L21</x:f>
        <x:v>0</x:v>
      </x:c>
      <x:c r="N21" s="6"/>
    </x:row>
    <x:row r="22" spans="1:14" ht="20.100000000000001" customHeight="1">
      <x:c r="A22" s="300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6"/>
      <x:c r="H22" s="300"/>
      <x:c r="I22" s="3"/>
      <x:c r="J22" s="3"/>
      <x:c r="K22" s="4"/>
      <x:c r="L22" s="4">
        <x:f>+K22*0.1</x:f>
        <x:v>0</x:v>
      </x:c>
      <x:c r="M22" s="5">
        <x:f>+K22+L22</x:f>
        <x:v>0</x:v>
      </x:c>
      <x:c r="N22" s="6"/>
    </x:row>
    <x:row r="23" spans="1:14" ht="20.100000000000001" customHeight="1">
      <x:c r="A23" s="7" t="s">
        <x:v>155</x:v>
      </x:c>
      <x:c r="B23" s="8"/>
      <x:c r="C23" s="8"/>
      <x:c r="D23" s="9">
        <x:f>SUM(D19:D22)</x:f>
        <x:v>1110000</x:v>
      </x:c>
      <x:c r="E23" s="9">
        <x:f>SUM(E19:E22)</x:f>
        <x:v>111000</x:v>
      </x:c>
      <x:c r="F23" s="10">
        <x:f>SUM(F19:F22)</x:f>
        <x:v>1221000</x:v>
      </x:c>
      <x:c r="G23" s="11"/>
      <x:c r="H23" s="7"/>
      <x:c r="I23" s="8"/>
      <x:c r="J23" s="8"/>
      <x:c r="K23" s="9">
        <x:f>SUM(K19:K22)</x:f>
        <x:v>0</x:v>
      </x:c>
      <x:c r="L23" s="9">
        <x:f>SUM(L19:L22)</x:f>
        <x:v>0</x:v>
      </x:c>
      <x:c r="M23" s="10">
        <x:f>SUM(M19:M22)</x:f>
        <x:v>0</x:v>
      </x:c>
      <x:c r="N23" s="11"/>
    </x:row>
    <x:row r="24" spans="1:14" ht="20.100000000000001" customHeight="1">
      <x:c r="A24" s="301" t="s">
        <x:v>149</x:v>
      </x:c>
      <x:c r="B24" s="3" t="s">
        <x:v>940</x:v>
      </x:c>
      <x:c r="C24" s="3" t="s">
        <x:v>164</x:v>
      </x:c>
      <x:c r="D24" s="4">
        <x:v>1738000</x:v>
      </x:c>
      <x:c r="E24" s="4">
        <x:f>+D24*0.1</x:f>
        <x:v>173800</x:v>
      </x:c>
      <x:c r="F24" s="5">
        <x:f>+D24+E24</x:f>
        <x:v>1911800</x:v>
      </x:c>
      <x:c r="G24" s="6"/>
      <x:c r="H24" s="301" t="s">
        <x:v>149</x:v>
      </x:c>
      <x:c r="I24" s="3" t="s">
        <x:v>952</x:v>
      </x:c>
      <x:c r="J24" s="3" t="s">
        <x:v>28</x:v>
      </x:c>
      <x:c r="K24" s="4">
        <x:v>865090</x:v>
      </x:c>
      <x:c r="L24" s="4">
        <x:f>+K24*0.1+1</x:f>
        <x:v>86510</x:v>
      </x:c>
      <x:c r="M24" s="5">
        <x:f t="shared" ref="M24:M33" si="5">+K24+L24</x:f>
        <x:v>951600</x:v>
      </x:c>
      <x:c r="N24" s="6"/>
    </x:row>
    <x:row r="25" spans="1:14" ht="20.100000000000001" customHeight="1">
      <x:c r="A25" s="299"/>
      <x:c r="B25" s="3" t="s">
        <x:v>174</x:v>
      </x:c>
      <x:c r="C25" s="3" t="s">
        <x:v>941</x:v>
      </x:c>
      <x:c r="D25" s="4">
        <x:v>500000</x:v>
      </x:c>
      <x:c r="E25" s="4"/>
      <x:c r="F25" s="5">
        <x:f>+D25+E25</x:f>
        <x:v>500000</x:v>
      </x:c>
      <x:c r="G25" s="6"/>
      <x:c r="H25" s="299"/>
      <x:c r="I25" s="3" t="s">
        <x:v>959</x:v>
      </x:c>
      <x:c r="J25" s="3" t="s">
        <x:v>825</x:v>
      </x:c>
      <x:c r="K25" s="4">
        <x:v>765000</x:v>
      </x:c>
      <x:c r="L25" s="4">
        <x:f>+K25*0.1</x:f>
        <x:v>76500</x:v>
      </x:c>
      <x:c r="M25" s="5">
        <x:f t="shared" si="5"/>
        <x:v>841500</x:v>
      </x:c>
      <x:c r="N25" s="6"/>
    </x:row>
    <x:row r="26" spans="1:14" ht="20.100000000000001" customHeight="1">
      <x:c r="A26" s="299"/>
      <x:c r="B26" s="3" t="s">
        <x:v>947</x:v>
      </x:c>
      <x:c r="C26" s="3" t="s">
        <x:v>914</x:v>
      </x:c>
      <x:c r="D26" s="4">
        <x:v>130000</x:v>
      </x:c>
      <x:c r="E26" s="4">
        <x:f>+D26*0.1</x:f>
        <x:v>13000</x:v>
      </x:c>
      <x:c r="F26" s="5">
        <x:f>+D26+E26</x:f>
        <x:v>143000</x:v>
      </x:c>
      <x:c r="G26" s="6"/>
      <x:c r="H26" s="299"/>
      <x:c r="I26" s="3" t="s">
        <x:v>186</x:v>
      </x:c>
      <x:c r="J26" s="3" t="s">
        <x:v>941</x:v>
      </x:c>
      <x:c r="K26" s="4">
        <x:v>550000</x:v>
      </x:c>
      <x:c r="L26" s="4"/>
      <x:c r="M26" s="5">
        <x:f t="shared" si="5"/>
        <x:v>550000</x:v>
      </x:c>
      <x:c r="N26" s="6"/>
    </x:row>
    <x:row r="27" spans="1:14" ht="20.100000000000001" customHeight="1">
      <x:c r="A27" s="299"/>
      <x:c r="B27" s="3" t="s">
        <x:v>828</x:v>
      </x:c>
      <x:c r="C27" s="3" t="s">
        <x:v>167</x:v>
      </x:c>
      <x:c r="D27" s="4">
        <x:v>594000</x:v>
      </x:c>
      <x:c r="E27" s="4">
        <x:f>+D27*0.1</x:f>
        <x:v>59400</x:v>
      </x:c>
      <x:c r="F27" s="5">
        <x:f>+D27+E27</x:f>
        <x:v>653400</x:v>
      </x:c>
      <x:c r="G27" s="6"/>
      <x:c r="H27" s="299"/>
      <x:c r="I27" s="3" t="s">
        <x:v>923</x:v>
      </x:c>
      <x:c r="J27" s="3" t="s">
        <x:v>896</x:v>
      </x:c>
      <x:c r="K27" s="4"/>
      <x:c r="L27" s="4">
        <x:f>+K27*0.1</x:f>
        <x:v>0</x:v>
      </x:c>
      <x:c r="M27" s="5">
        <x:f t="shared" si="5"/>
        <x:v>0</x:v>
      </x:c>
      <x:c r="N27" s="6" t="s">
        <x:v>355</x:v>
      </x:c>
    </x:row>
    <x:row r="28" spans="1:14" ht="20.100000000000001" customHeight="1">
      <x:c r="A28" s="299"/>
      <x:c r="B28" s="3" t="s">
        <x:v>169</x:v>
      </x:c>
      <x:c r="C28" s="3" t="s">
        <x:v>837</x:v>
      </x:c>
      <x:c r="D28" s="4">
        <x:v>1687265</x:v>
      </x:c>
      <x:c r="E28" s="4">
        <x:v>7000</x:v>
      </x:c>
      <x:c r="F28" s="5">
        <x:f t="shared" ref="F28:F33" si="6">+D28+E28</x:f>
        <x:v>1694265</x:v>
      </x:c>
      <x:c r="G28" s="6"/>
      <x:c r="H28" s="299"/>
      <x:c r="I28" s="3" t="s">
        <x:v>1680</x:v>
      </x:c>
      <x:c r="J28" s="3" t="s">
        <x:v>1695</x:v>
      </x:c>
      <x:c r="K28" s="4">
        <x:v>130000</x:v>
      </x:c>
      <x:c r="L28" s="4">
        <x:f>+K28*0.1</x:f>
        <x:v>13000</x:v>
      </x:c>
      <x:c r="M28" s="5">
        <x:f t="shared" si="5"/>
        <x:v>143000</x:v>
      </x:c>
      <x:c r="N28" s="6"/>
    </x:row>
    <x:row r="29" spans="1:14" ht="20.100000000000001" customHeight="1">
      <x:c r="A29" s="299"/>
      <x:c r="B29" s="3" t="s">
        <x:v>951</x:v>
      </x:c>
      <x:c r="C29" s="3" t="s">
        <x:v>958</x:v>
      </x:c>
      <x:c r="D29" s="4">
        <x:v>31700</x:v>
      </x:c>
      <x:c r="E29" s="4"/>
      <x:c r="F29" s="5">
        <x:f t="shared" si="6"/>
        <x:v>31700</x:v>
      </x:c>
      <x:c r="G29" s="6"/>
      <x:c r="H29" s="299"/>
      <x:c r="I29" s="3" t="s">
        <x:v>185</x:v>
      </x:c>
      <x:c r="J29" s="3" t="s">
        <x:v>149</x:v>
      </x:c>
      <x:c r="K29" s="4">
        <x:v>797560</x:v>
      </x:c>
      <x:c r="L29" s="4"/>
      <x:c r="M29" s="5">
        <x:f t="shared" si="5"/>
        <x:v>797560</x:v>
      </x:c>
      <x:c r="N29" s="6"/>
    </x:row>
    <x:row r="30" spans="1:14" ht="20.100000000000001" customHeight="1">
      <x:c r="A30" s="299"/>
      <x:c r="B30" s="3"/>
      <x:c r="C30" s="3"/>
      <x:c r="D30" s="4"/>
      <x:c r="E30" s="4"/>
      <x:c r="F30" s="5">
        <x:f t="shared" si="6"/>
        <x:v>0</x:v>
      </x:c>
      <x:c r="G30" s="6"/>
      <x:c r="H30" s="299"/>
      <x:c r="I30" s="3" t="s">
        <x:v>1699</x:v>
      </x:c>
      <x:c r="J30" s="3" t="s">
        <x:v>167</x:v>
      </x:c>
      <x:c r="K30" s="4">
        <x:v>100500</x:v>
      </x:c>
      <x:c r="L30" s="4">
        <x:f>+K30*0.1</x:f>
        <x:v>10050</x:v>
      </x:c>
      <x:c r="M30" s="5">
        <x:f t="shared" si="5"/>
        <x:v>110550</x:v>
      </x:c>
      <x:c r="N30" s="6"/>
    </x:row>
    <x:row r="31" spans="1:14" ht="20.100000000000001" customHeight="1">
      <x:c r="A31" s="299"/>
      <x:c r="B31" s="3"/>
      <x:c r="C31" s="3"/>
      <x:c r="D31" s="4"/>
      <x:c r="E31" s="4"/>
      <x:c r="F31" s="5">
        <x:f t="shared" si="6"/>
        <x:v>0</x:v>
      </x:c>
      <x:c r="G31" s="6"/>
      <x:c r="H31" s="299"/>
      <x:c r="I31" s="3" t="s">
        <x:v>159</x:v>
      </x:c>
      <x:c r="J31" s="3" t="s">
        <x:v>954</x:v>
      </x:c>
      <x:c r="K31" s="4">
        <x:v>100000</x:v>
      </x:c>
      <x:c r="L31" s="4"/>
      <x:c r="M31" s="5">
        <x:f t="shared" si="5"/>
        <x:v>100000</x:v>
      </x:c>
      <x:c r="N31" s="6"/>
    </x:row>
    <x:row r="32" spans="1:14" ht="20.100000000000001" customHeight="1">
      <x:c r="A32" s="299"/>
      <x:c r="B32" s="3"/>
      <x:c r="C32" s="3"/>
      <x:c r="D32" s="4"/>
      <x:c r="E32" s="4"/>
      <x:c r="F32" s="5">
        <x:f t="shared" si="6"/>
        <x:v>0</x:v>
      </x:c>
      <x:c r="G32" s="6"/>
      <x:c r="H32" s="299"/>
      <x:c r="I32" s="3"/>
      <x:c r="J32" s="3"/>
      <x:c r="K32" s="4"/>
      <x:c r="L32" s="4"/>
      <x:c r="M32" s="5">
        <x:f t="shared" si="5"/>
        <x:v>0</x:v>
      </x:c>
      <x:c r="N32" s="6"/>
    </x:row>
    <x:row r="33" spans="1:14" ht="20.100000000000001" customHeight="1">
      <x:c r="A33" s="300"/>
      <x:c r="B33" s="3"/>
      <x:c r="C33" s="3"/>
      <x:c r="D33" s="4"/>
      <x:c r="E33" s="4"/>
      <x:c r="F33" s="5">
        <x:f t="shared" si="6"/>
        <x:v>0</x:v>
      </x:c>
      <x:c r="G33" s="6"/>
      <x:c r="H33" s="300"/>
      <x:c r="I33" s="3"/>
      <x:c r="J33" s="3"/>
      <x:c r="K33" s="4"/>
      <x:c r="L33" s="4"/>
      <x:c r="M33" s="5">
        <x:f t="shared" si="5"/>
        <x:v>0</x:v>
      </x:c>
      <x:c r="N33" s="6"/>
    </x:row>
    <x:row r="34" spans="1:14" ht="20.100000000000001" customHeight="1">
      <x:c r="A34" s="7" t="s">
        <x:v>155</x:v>
      </x:c>
      <x:c r="B34" s="8"/>
      <x:c r="C34" s="8"/>
      <x:c r="D34" s="9">
        <x:f>SUM(D24:D33)</x:f>
        <x:v>4680965</x:v>
      </x:c>
      <x:c r="E34" s="9">
        <x:f>SUM(E24:E33)</x:f>
        <x:v>253200</x:v>
      </x:c>
      <x:c r="F34" s="10">
        <x:f>SUM(F24:F33)</x:f>
        <x:v>4934165</x:v>
      </x:c>
      <x:c r="G34" s="11"/>
      <x:c r="H34" s="7"/>
      <x:c r="I34" s="8"/>
      <x:c r="J34" s="8"/>
      <x:c r="K34" s="9">
        <x:f>SUM(K24:K33)</x:f>
        <x:v>3308150</x:v>
      </x:c>
      <x:c r="L34" s="9">
        <x:f>SUM(L24:L33)</x:f>
        <x:v>186060</x:v>
      </x:c>
      <x:c r="M34" s="10">
        <x:f>SUM(M24:M33)</x:f>
        <x:v>3494210</x:v>
      </x:c>
      <x:c r="N34" s="11"/>
    </x:row>
    <x:row r="35" spans="1:14" ht="20.100000000000001" customHeight="1">
      <x:c r="A35" s="12" t="s">
        <x:v>1690</x:v>
      </x:c>
      <x:c r="B35" s="13"/>
      <x:c r="C35" s="13"/>
      <x:c r="D35" s="14">
        <x:f>+D13+D18+D23+D34</x:f>
        <x:v>88495999</x:v>
      </x:c>
      <x:c r="E35" s="14">
        <x:f>+E13+E18+E23+E34</x:f>
        <x:v>2624203</x:v>
      </x:c>
      <x:c r="F35" s="15">
        <x:f>+F13+F18+F23+F34</x:f>
        <x:v>91120202</x:v>
      </x:c>
      <x:c r="G35" s="16"/>
      <x:c r="H35" s="12"/>
      <x:c r="I35" s="13"/>
      <x:c r="J35" s="13"/>
      <x:c r="K35" s="14">
        <x:f>+K13+K18+K23+K34</x:f>
        <x:v>37904554</x:v>
      </x:c>
      <x:c r="L35" s="14">
        <x:f>+L13+L18+L23+L34</x:f>
        <x:v>1755850.3999999999</x:v>
      </x:c>
      <x:c r="M35" s="15">
        <x:f>+M13+M18+M23+M34</x:f>
        <x:v>39660404.399999999</x:v>
      </x:c>
      <x:c r="N35" s="16"/>
    </x:row>
    <x:row r="36" spans="1:14" ht="20.100000000000001" customHeight="1">
      <x:c r="A36" s="23" t="s">
        <x:v>35</x:v>
      </x:c>
      <x:c r="B36" s="24"/>
      <x:c r="C36" s="24"/>
      <x:c r="D36" s="25">
        <x:f>+D4-D35</x:f>
        <x:v>138804001</x:v>
      </x:c>
      <x:c r="E36" s="25">
        <x:f>+E4-E35</x:f>
        <x:v>8075797</x:v>
      </x:c>
      <x:c r="F36" s="26">
        <x:f>+F4-F35</x:f>
        <x:v>146879798</x:v>
      </x:c>
      <x:c r="G36" s="27"/>
      <x:c r="H36" s="23"/>
      <x:c r="I36" s="24"/>
      <x:c r="J36" s="24"/>
      <x:c r="K36" s="25">
        <x:f>+K4-K35</x:f>
        <x:v>-7904554</x:v>
      </x:c>
      <x:c r="L36" s="25">
        <x:f>+L4-L35</x:f>
        <x:v>-1755850.3999999999</x:v>
      </x:c>
      <x:c r="M36" s="26">
        <x:f>+M4-M35</x:f>
        <x:v>-9660404.3999999985</x:v>
      </x:c>
      <x:c r="N36" s="27"/>
    </x:row>
    <x:row r="37" spans="1:14" ht="20.100000000000001" customHeight="1">
      <x:c r="A37" s="296" t="s">
        <x:v>871</x:v>
      </x:c>
      <x:c r="B37" s="297"/>
      <x:c r="C37" s="297"/>
      <x:c r="D37" s="297"/>
      <x:c r="E37" s="297"/>
      <x:c r="F37" s="297"/>
      <x:c r="G37" s="297"/>
      <x:c r="H37" s="302" t="s">
        <x:v>58</x:v>
      </x:c>
      <x:c r="I37" s="303"/>
      <x:c r="J37" s="303"/>
      <x:c r="K37" s="303"/>
      <x:c r="L37" s="303"/>
      <x:c r="M37" s="304"/>
      <x:c r="N37" s="305"/>
    </x:row>
    <x:row r="38" spans="1:14" ht="20.100000000000001" customHeight="1">
      <x:c r="A38" s="29" t="s">
        <x:v>147</x:v>
      </x:c>
      <x:c r="B38" s="30" t="s">
        <x:v>144</x:v>
      </x:c>
      <x:c r="C38" s="30" t="s">
        <x:v>150</x:v>
      </x:c>
      <x:c r="D38" s="31" t="s">
        <x:v>145</x:v>
      </x:c>
      <x:c r="E38" s="31" t="s">
        <x:v>152</x:v>
      </x:c>
      <x:c r="F38" s="32" t="s">
        <x:v>146</x:v>
      </x:c>
      <x:c r="G38" s="33" t="s">
        <x:v>154</x:v>
      </x:c>
      <x:c r="H38" s="29" t="s">
        <x:v>147</x:v>
      </x:c>
      <x:c r="I38" s="30" t="s">
        <x:v>144</x:v>
      </x:c>
      <x:c r="J38" s="30" t="s">
        <x:v>150</x:v>
      </x:c>
      <x:c r="K38" s="31" t="s">
        <x:v>145</x:v>
      </x:c>
      <x:c r="L38" s="31" t="s">
        <x:v>152</x:v>
      </x:c>
      <x:c r="M38" s="31" t="s">
        <x:v>146</x:v>
      </x:c>
      <x:c r="N38" s="34" t="s">
        <x:v>154</x:v>
      </x:c>
    </x:row>
    <x:row r="39" spans="1:14" ht="20.100000000000001" customHeight="1">
      <x:c r="A39" s="51" t="s">
        <x:v>151</x:v>
      </x:c>
      <x:c r="B39" s="38" t="s">
        <x:v>1679</x:v>
      </x:c>
      <x:c r="C39" s="38" t="s">
        <x:v>56</x:v>
      </x:c>
      <x:c r="D39" s="39">
        <x:v>10000000</x:v>
      </x:c>
      <x:c r="E39" s="39">
        <x:v>739420</x:v>
      </x:c>
      <x:c r="F39" s="40">
        <x:f>+D39+E39</x:f>
        <x:v>10739420</x:v>
      </x:c>
      <x:c r="G39" s="18"/>
      <x:c r="H39" s="41" t="s">
        <x:v>151</x:v>
      </x:c>
      <x:c r="I39" s="38" t="s">
        <x:v>1679</x:v>
      </x:c>
      <x:c r="J39" s="38" t="s">
        <x:v>1678</x:v>
      </x:c>
      <x:c r="K39" s="39">
        <x:v>11270000</x:v>
      </x:c>
      <x:c r="L39" s="39">
        <x:v>130000</x:v>
      </x:c>
      <x:c r="M39" s="40">
        <x:f>+K39+L39</x:f>
        <x:v>11400000</x:v>
      </x:c>
      <x:c r="N39" s="42"/>
    </x:row>
    <x:row r="40" spans="1:14" ht="20.100000000000001" customHeight="1">
      <x:c r="A40" s="298" t="s">
        <x:v>148</x:v>
      </x:c>
      <x:c r="B40" s="19" t="s">
        <x:v>838</x:v>
      </x:c>
      <x:c r="C40" s="19" t="s">
        <x:v>942</x:v>
      </x:c>
      <x:c r="D40" s="20">
        <x:v>1455730</x:v>
      </x:c>
      <x:c r="E40" s="20">
        <x:f>+INT(D40*0.1)</x:f>
        <x:v>145573</x:v>
      </x:c>
      <x:c r="F40" s="21">
        <x:f>+D40+E40</x:f>
        <x:v>1601303</x:v>
      </x:c>
      <x:c r="G40" s="22"/>
      <x:c r="H40" s="298" t="s">
        <x:v>148</x:v>
      </x:c>
      <x:c r="I40" s="19" t="s">
        <x:v>838</x:v>
      </x:c>
      <x:c r="J40" s="19" t="s">
        <x:v>942</x:v>
      </x:c>
      <x:c r="K40" s="20">
        <x:v>1456500</x:v>
      </x:c>
      <x:c r="L40" s="20">
        <x:f>+K40*0.1</x:f>
        <x:v>145650</x:v>
      </x:c>
      <x:c r="M40" s="21">
        <x:f t="shared" ref="M40:M54" si="7">+K40+L40</x:f>
        <x:v>1602150</x:v>
      </x:c>
      <x:c r="N40" s="22"/>
    </x:row>
    <x:row r="41" spans="1:14" ht="20.100000000000001" customHeight="1">
      <x:c r="A41" s="299"/>
      <x:c r="B41" s="3" t="s">
        <x:v>21</x:v>
      </x:c>
      <x:c r="C41" s="3" t="s">
        <x:v>925</x:v>
      </x:c>
      <x:c r="D41" s="4">
        <x:v>4288500</x:v>
      </x:c>
      <x:c r="E41" s="4">
        <x:f t="shared" ref="E41:E53" si="8">+INT(D41*0.1)</x:f>
        <x:v>428850</x:v>
      </x:c>
      <x:c r="F41" s="5">
        <x:f>+D41+E41</x:f>
        <x:v>4717350</x:v>
      </x:c>
      <x:c r="G41" s="6"/>
      <x:c r="H41" s="299"/>
      <x:c r="I41" s="3" t="s">
        <x:v>21</x:v>
      </x:c>
      <x:c r="J41" s="3" t="s">
        <x:v>19</x:v>
      </x:c>
      <x:c r="K41" s="4">
        <x:v>410160</x:v>
      </x:c>
      <x:c r="L41" s="4">
        <x:f>+K41*0.1</x:f>
        <x:v>41016</x:v>
      </x:c>
      <x:c r="M41" s="5">
        <x:f t="shared" si="7"/>
        <x:v>451176</x:v>
      </x:c>
      <x:c r="N41" s="6"/>
    </x:row>
    <x:row r="42" spans="1:14" ht="20.100000000000001" customHeight="1">
      <x:c r="A42" s="299"/>
      <x:c r="B42" s="3" t="s">
        <x:v>34</x:v>
      </x:c>
      <x:c r="C42" s="3"/>
      <x:c r="D42" s="4"/>
      <x:c r="E42" s="4">
        <x:f t="shared" si="8"/>
        <x:v>0</x:v>
      </x:c>
      <x:c r="F42" s="5">
        <x:f>+D42+E42</x:f>
        <x:v>0</x:v>
      </x:c>
      <x:c r="G42" s="6"/>
      <x:c r="H42" s="299"/>
      <x:c r="I42" s="3" t="s">
        <x:v>34</x:v>
      </x:c>
      <x:c r="J42" s="3" t="s">
        <x:v>4</x:v>
      </x:c>
      <x:c r="K42" s="4">
        <x:v>61500</x:v>
      </x:c>
      <x:c r="L42" s="4">
        <x:f t="shared" ref="L42:L54" si="9">+K42*0.1</x:f>
        <x:v>6150</x:v>
      </x:c>
      <x:c r="M42" s="5">
        <x:f t="shared" si="7"/>
        <x:v>67650</x:v>
      </x:c>
      <x:c r="N42" s="6"/>
    </x:row>
    <x:row r="43" spans="1:14" ht="20.100000000000001" customHeight="1">
      <x:c r="A43" s="299"/>
      <x:c r="B43" s="3" t="s">
        <x:v>892</x:v>
      </x:c>
      <x:c r="C43" s="3"/>
      <x:c r="D43" s="4"/>
      <x:c r="E43" s="4">
        <x:f t="shared" si="8"/>
        <x:v>0</x:v>
      </x:c>
      <x:c r="F43" s="5">
        <x:f t="shared" ref="F43:F53" si="10">+D43+E43</x:f>
        <x:v>0</x:v>
      </x:c>
      <x:c r="G43" s="6"/>
      <x:c r="H43" s="299"/>
      <x:c r="I43" s="3" t="s">
        <x:v>840</x:v>
      </x:c>
      <x:c r="J43" s="3" t="s">
        <x:v>342</x:v>
      </x:c>
      <x:c r="K43" s="4">
        <x:v>84000</x:v>
      </x:c>
      <x:c r="L43" s="4">
        <x:f t="shared" si="9"/>
        <x:v>8400</x:v>
      </x:c>
      <x:c r="M43" s="5">
        <x:f t="shared" si="7"/>
        <x:v>92400</x:v>
      </x:c>
      <x:c r="N43" s="6"/>
    </x:row>
    <x:row r="44" spans="1:14" ht="20.100000000000001" customHeight="1">
      <x:c r="A44" s="299"/>
      <x:c r="B44" s="3" t="s">
        <x:v>846</x:v>
      </x:c>
      <x:c r="C44" s="3" t="s">
        <x:v>27</x:v>
      </x:c>
      <x:c r="D44" s="4">
        <x:v>2173650</x:v>
      </x:c>
      <x:c r="E44" s="4">
        <x:f t="shared" si="8"/>
        <x:v>217365</x:v>
      </x:c>
      <x:c r="F44" s="5">
        <x:f t="shared" si="10"/>
        <x:v>2391015</x:v>
      </x:c>
      <x:c r="G44" s="6"/>
      <x:c r="H44" s="299"/>
      <x:c r="I44" s="3" t="s">
        <x:v>846</x:v>
      </x:c>
      <x:c r="J44" s="3" t="s">
        <x:v>964</x:v>
      </x:c>
      <x:c r="K44" s="4">
        <x:v>210150</x:v>
      </x:c>
      <x:c r="L44" s="4">
        <x:f t="shared" si="9"/>
        <x:v>21015</x:v>
      </x:c>
      <x:c r="M44" s="5">
        <x:f t="shared" si="7"/>
        <x:v>231165</x:v>
      </x:c>
      <x:c r="N44" s="6"/>
    </x:row>
    <x:row r="45" spans="1:14" ht="20.100000000000001" customHeight="1">
      <x:c r="A45" s="299"/>
      <x:c r="B45" s="3" t="s">
        <x:v>938</x:v>
      </x:c>
      <x:c r="C45" s="3" t="s">
        <x:v>953</x:v>
      </x:c>
      <x:c r="D45" s="4">
        <x:v>1430000</x:v>
      </x:c>
      <x:c r="E45" s="4">
        <x:f t="shared" si="8"/>
        <x:v>143000</x:v>
      </x:c>
      <x:c r="F45" s="5">
        <x:f t="shared" si="10"/>
        <x:v>1573000</x:v>
      </x:c>
      <x:c r="G45" s="6"/>
      <x:c r="H45" s="299"/>
      <x:c r="I45" s="3"/>
      <x:c r="J45" s="3"/>
      <x:c r="K45" s="4"/>
      <x:c r="L45" s="4">
        <x:f t="shared" si="9"/>
        <x:v>0</x:v>
      </x:c>
      <x:c r="M45" s="5">
        <x:f t="shared" si="7"/>
        <x:v>0</x:v>
      </x:c>
      <x:c r="N45" s="6"/>
    </x:row>
    <x:row r="46" spans="1:14" ht="20.100000000000001" customHeight="1">
      <x:c r="A46" s="299"/>
      <x:c r="B46" s="3"/>
      <x:c r="C46" s="3"/>
      <x:c r="D46" s="4"/>
      <x:c r="E46" s="4">
        <x:f t="shared" si="8"/>
        <x:v>0</x:v>
      </x:c>
      <x:c r="F46" s="5">
        <x:f t="shared" si="10"/>
        <x:v>0</x:v>
      </x:c>
      <x:c r="G46" s="6"/>
      <x:c r="H46" s="299"/>
      <x:c r="I46" s="3"/>
      <x:c r="J46" s="3"/>
      <x:c r="K46" s="4"/>
      <x:c r="L46" s="4">
        <x:f t="shared" si="9"/>
        <x:v>0</x:v>
      </x:c>
      <x:c r="M46" s="5">
        <x:f t="shared" si="7"/>
        <x:v>0</x:v>
      </x:c>
      <x:c r="N46" s="6"/>
    </x:row>
    <x:row r="47" spans="1:14" ht="20.100000000000001" customHeight="1">
      <x:c r="A47" s="299"/>
      <x:c r="B47" s="3"/>
      <x:c r="C47" s="3"/>
      <x:c r="D47" s="4"/>
      <x:c r="E47" s="4">
        <x:f t="shared" si="8"/>
        <x:v>0</x:v>
      </x:c>
      <x:c r="F47" s="5">
        <x:f t="shared" si="10"/>
        <x:v>0</x:v>
      </x:c>
      <x:c r="G47" s="6"/>
      <x:c r="H47" s="299"/>
      <x:c r="I47" s="3"/>
      <x:c r="J47" s="3"/>
      <x:c r="K47" s="4"/>
      <x:c r="L47" s="4">
        <x:f t="shared" si="9"/>
        <x:v>0</x:v>
      </x:c>
      <x:c r="M47" s="5">
        <x:f t="shared" si="7"/>
        <x:v>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 t="shared" si="8"/>
        <x:v>0</x:v>
      </x:c>
      <x:c r="F48" s="5">
        <x:f t="shared" si="10"/>
        <x:v>0</x:v>
      </x:c>
      <x:c r="G48" s="6"/>
      <x:c r="H48" s="299"/>
      <x:c r="I48" s="3"/>
      <x:c r="J48" s="3"/>
      <x:c r="K48" s="4"/>
      <x:c r="L48" s="4">
        <x:f t="shared" si="9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8"/>
        <x:v>0</x:v>
      </x:c>
      <x:c r="F49" s="5">
        <x:f t="shared" si="10"/>
        <x:v>0</x:v>
      </x:c>
      <x:c r="G49" s="6"/>
      <x:c r="H49" s="299"/>
      <x:c r="I49" s="3"/>
      <x:c r="J49" s="3"/>
      <x:c r="K49" s="4"/>
      <x:c r="L49" s="4">
        <x:f t="shared" si="9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8"/>
        <x:v>0</x:v>
      </x:c>
      <x:c r="F50" s="5">
        <x:f t="shared" si="10"/>
        <x:v>0</x:v>
      </x:c>
      <x:c r="G50" s="6"/>
      <x:c r="H50" s="299"/>
      <x:c r="I50" s="3"/>
      <x:c r="J50" s="3"/>
      <x:c r="K50" s="4"/>
      <x:c r="L50" s="4">
        <x:f t="shared" si="9"/>
        <x:v>0</x:v>
      </x:c>
      <x:c r="M50" s="5">
        <x:f t="shared" si="7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8"/>
        <x:v>0</x:v>
      </x:c>
      <x:c r="F51" s="5">
        <x:f t="shared" si="10"/>
        <x:v>0</x:v>
      </x:c>
      <x:c r="G51" s="6"/>
      <x:c r="H51" s="299"/>
      <x:c r="I51" s="3"/>
      <x:c r="J51" s="3"/>
      <x:c r="K51" s="4"/>
      <x:c r="L51" s="4">
        <x:f t="shared" si="9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8"/>
        <x:v>0</x:v>
      </x:c>
      <x:c r="F52" s="5">
        <x:f t="shared" si="10"/>
        <x:v>0</x:v>
      </x:c>
      <x:c r="G52" s="6"/>
      <x:c r="H52" s="299"/>
      <x:c r="I52" s="3"/>
      <x:c r="J52" s="3"/>
      <x:c r="K52" s="4"/>
      <x:c r="L52" s="4">
        <x:f t="shared" si="9"/>
        <x:v>0</x:v>
      </x:c>
      <x:c r="M52" s="5">
        <x:f t="shared" si="7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8"/>
        <x:v>0</x:v>
      </x:c>
      <x:c r="F53" s="5">
        <x:f t="shared" si="10"/>
        <x:v>0</x:v>
      </x:c>
      <x:c r="G53" s="6"/>
      <x:c r="H53" s="299"/>
      <x:c r="I53" s="3"/>
      <x:c r="J53" s="3"/>
      <x:c r="K53" s="4"/>
      <x:c r="L53" s="4">
        <x:f t="shared" si="9"/>
        <x:v>0</x:v>
      </x:c>
      <x:c r="M53" s="5">
        <x:f t="shared" si="7"/>
        <x:v>0</x:v>
      </x:c>
      <x:c r="N53" s="6"/>
    </x:row>
    <x:row r="54" spans="1:14" ht="20.100000000000001" customHeight="1">
      <x:c r="A54" s="300"/>
      <x:c r="B54" s="3"/>
      <x:c r="C54" s="3"/>
      <x:c r="D54" s="4"/>
      <x:c r="E54" s="4"/>
      <x:c r="F54" s="5"/>
      <x:c r="G54" s="6"/>
      <x:c r="H54" s="300"/>
      <x:c r="I54" s="3"/>
      <x:c r="J54" s="3"/>
      <x:c r="K54" s="4"/>
      <x:c r="L54" s="4">
        <x:f t="shared" si="9"/>
        <x:v>0</x:v>
      </x:c>
      <x:c r="M54" s="5">
        <x:f t="shared" si="7"/>
        <x:v>0</x:v>
      </x:c>
      <x:c r="N54" s="6"/>
    </x:row>
    <x:row r="55" spans="1:14" ht="20.100000000000001" customHeight="1">
      <x:c r="A55" s="7" t="s">
        <x:v>155</x:v>
      </x:c>
      <x:c r="B55" s="8"/>
      <x:c r="C55" s="8"/>
      <x:c r="D55" s="9">
        <x:f>SUM(D40:D54)</x:f>
        <x:v>9347880</x:v>
      </x:c>
      <x:c r="E55" s="9">
        <x:f>SUM(E40:E54)</x:f>
        <x:v>934788</x:v>
      </x:c>
      <x:c r="F55" s="10">
        <x:f>SUM(F40:F54)</x:f>
        <x:v>10282668</x:v>
      </x:c>
      <x:c r="G55" s="11"/>
      <x:c r="H55" s="7"/>
      <x:c r="I55" s="8"/>
      <x:c r="J55" s="8"/>
      <x:c r="K55" s="9">
        <x:f>SUM(K40:K54)</x:f>
        <x:v>2222310</x:v>
      </x:c>
      <x:c r="L55" s="9">
        <x:f>SUM(L40:L54)</x:f>
        <x:v>222231</x:v>
      </x:c>
      <x:c r="M55" s="10">
        <x:f>SUM(M40:M54)</x:f>
        <x:v>2444541</x:v>
      </x:c>
      <x:c r="N55" s="11"/>
    </x:row>
    <x:row r="56" spans="1:14" ht="20.100000000000001" customHeight="1">
      <x:c r="A56" s="301" t="s">
        <x:v>153</x:v>
      </x:c>
      <x:c r="B56" s="3" t="s">
        <x:v>1677</x:v>
      </x:c>
      <x:c r="C56" s="3"/>
      <x:c r="D56" s="44">
        <x:v>12175000</x:v>
      </x:c>
      <x:c r="E56" s="44"/>
      <x:c r="F56" s="45">
        <x:f>+D56+E56</x:f>
        <x:v>12175000</x:v>
      </x:c>
      <x:c r="G56" s="37"/>
      <x:c r="H56" s="301" t="s">
        <x:v>153</x:v>
      </x:c>
      <x:c r="I56" s="3" t="s">
        <x:v>1677</x:v>
      </x:c>
      <x:c r="J56" s="3"/>
      <x:c r="K56" s="4">
        <x:v>6970000</x:v>
      </x:c>
      <x:c r="L56" s="4"/>
      <x:c r="M56" s="5">
        <x:f>+K56+L56</x:f>
        <x:v>6970000</x:v>
      </x:c>
      <x:c r="N56" s="6"/>
    </x:row>
    <x:row r="57" spans="1:14" ht="20.100000000000001" customHeight="1">
      <x:c r="A57" s="299"/>
      <x:c r="B57" s="3"/>
      <x:c r="C57" s="3"/>
      <x:c r="D57" s="44"/>
      <x:c r="E57" s="44">
        <x:f>+D57*0.1</x:f>
        <x:v>0</x:v>
      </x:c>
      <x:c r="F57" s="45">
        <x:f>+D57+E57</x:f>
        <x:v>0</x:v>
      </x:c>
      <x:c r="G57" s="37"/>
      <x:c r="H57" s="299"/>
      <x:c r="I57" s="3"/>
      <x:c r="J57" s="3"/>
      <x:c r="K57" s="4"/>
      <x:c r="L57" s="4">
        <x:f>+K57*0.1</x:f>
        <x:v>0</x:v>
      </x:c>
      <x:c r="M57" s="5">
        <x:f>+K57+L57</x:f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>+D58*0.1</x:f>
        <x:v>0</x:v>
      </x:c>
      <x:c r="F58" s="5">
        <x:f>+D58+E58</x:f>
        <x:v>0</x:v>
      </x:c>
      <x:c r="G58" s="6"/>
      <x:c r="H58" s="299"/>
      <x:c r="I58" s="3"/>
      <x:c r="J58" s="3"/>
      <x:c r="K58" s="4"/>
      <x:c r="L58" s="4">
        <x:f>+K58*0.1</x:f>
        <x:v>0</x:v>
      </x:c>
      <x:c r="M58" s="5">
        <x:f>+K58+L58</x:f>
        <x:v>0</x:v>
      </x:c>
      <x:c r="N58" s="6"/>
    </x:row>
    <x:row r="59" spans="1:14" ht="20.100000000000001" customHeight="1">
      <x:c r="A59" s="300"/>
      <x:c r="B59" s="3"/>
      <x:c r="C59" s="3"/>
      <x:c r="D59" s="4"/>
      <x:c r="E59" s="4">
        <x:f>+D59*0.1</x:f>
        <x:v>0</x:v>
      </x:c>
      <x:c r="F59" s="5">
        <x:f>+D59+E59</x:f>
        <x:v>0</x:v>
      </x:c>
      <x:c r="G59" s="6"/>
      <x:c r="H59" s="300"/>
      <x:c r="I59" s="3"/>
      <x:c r="J59" s="3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7" t="s">
        <x:v>155</x:v>
      </x:c>
      <x:c r="B60" s="8"/>
      <x:c r="C60" s="8"/>
      <x:c r="D60" s="9">
        <x:f>SUM(D56:D59)</x:f>
        <x:v>12175000</x:v>
      </x:c>
      <x:c r="E60" s="9">
        <x:f>SUM(E56:E59)</x:f>
        <x:v>0</x:v>
      </x:c>
      <x:c r="F60" s="10">
        <x:f>SUM(F56:F59)</x:f>
        <x:v>12175000</x:v>
      </x:c>
      <x:c r="G60" s="11"/>
      <x:c r="H60" s="7"/>
      <x:c r="I60" s="8"/>
      <x:c r="J60" s="8"/>
      <x:c r="K60" s="9">
        <x:f>SUM(K56:K59)</x:f>
        <x:v>6970000</x:v>
      </x:c>
      <x:c r="L60" s="9">
        <x:f>SUM(L56:L59)</x:f>
        <x:v>0</x:v>
      </x:c>
      <x:c r="M60" s="10">
        <x:f>SUM(M56:M59)</x:f>
        <x:v>6970000</x:v>
      </x:c>
      <x:c r="N60" s="11"/>
    </x:row>
    <x:row r="61" spans="1:14" ht="20.100000000000001" customHeight="1">
      <x:c r="A61" s="301" t="s">
        <x:v>187</x:v>
      </x:c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6"/>
      <x:c r="H61" s="301" t="s">
        <x:v>187</x:v>
      </x:c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0</x:v>
      </x:c>
      <x:c r="E65" s="9">
        <x:f>SUM(E61:E64)</x:f>
        <x:v>0</x:v>
      </x:c>
      <x:c r="F65" s="10">
        <x:f>SUM(F61:F64)</x:f>
        <x:v>0</x:v>
      </x:c>
      <x:c r="G65" s="11"/>
      <x:c r="H65" s="7"/>
      <x:c r="I65" s="8"/>
      <x:c r="J65" s="8"/>
      <x:c r="K65" s="9">
        <x:f>SUM(K61:K64)</x:f>
        <x:v>0</x:v>
      </x:c>
      <x:c r="L65" s="9">
        <x:f>SUM(L61:L64)</x:f>
        <x:v>0</x:v>
      </x:c>
      <x:c r="M65" s="10">
        <x:f>SUM(M61:M64)</x:f>
        <x:v>0</x:v>
      </x:c>
      <x:c r="N65" s="11"/>
    </x:row>
    <x:row r="66" spans="1:14" ht="20.100000000000001" customHeight="1">
      <x:c r="A66" s="301" t="s">
        <x:v>149</x:v>
      </x:c>
      <x:c r="B66" s="3" t="s">
        <x:v>172</x:v>
      </x:c>
      <x:c r="C66" s="3" t="s">
        <x:v>66</x:v>
      </x:c>
      <x:c r="D66" s="4">
        <x:v>450000</x:v>
      </x:c>
      <x:c r="E66" s="4"/>
      <x:c r="F66" s="5">
        <x:f>+D66+E66</x:f>
        <x:v>450000</x:v>
      </x:c>
      <x:c r="G66" s="6"/>
      <x:c r="H66" s="301" t="s">
        <x:v>149</x:v>
      </x:c>
      <x:c r="I66" s="3" t="s">
        <x:v>177</x:v>
      </x:c>
      <x:c r="J66" s="3" t="s">
        <x:v>837</x:v>
      </x:c>
      <x:c r="K66" s="4">
        <x:v>529820</x:v>
      </x:c>
      <x:c r="L66" s="4"/>
      <x:c r="M66" s="5">
        <x:f t="shared" ref="M66:M73" si="11">+K66+L66</x:f>
        <x:v>529820</x:v>
      </x:c>
      <x:c r="N66" s="6"/>
    </x:row>
    <x:row r="67" spans="1:14" ht="20.100000000000001" customHeight="1">
      <x:c r="A67" s="299"/>
      <x:c r="B67" s="3" t="s">
        <x:v>177</x:v>
      </x:c>
      <x:c r="C67" s="3" t="s">
        <x:v>149</x:v>
      </x:c>
      <x:c r="D67" s="4">
        <x:v>673800</x:v>
      </x:c>
      <x:c r="E67" s="4"/>
      <x:c r="F67" s="5">
        <x:f>+D67+E67</x:f>
        <x:v>673800</x:v>
      </x:c>
      <x:c r="G67" s="6"/>
      <x:c r="H67" s="299"/>
      <x:c r="I67" s="3" t="s">
        <x:v>883</x:v>
      </x:c>
      <x:c r="J67" s="3" t="s">
        <x:v>896</x:v>
      </x:c>
      <x:c r="K67" s="4">
        <x:v>100000</x:v>
      </x:c>
      <x:c r="L67" s="4">
        <x:f t="shared" ref="L67:L73" si="12">+K67*0.1</x:f>
        <x:v>10000</x:v>
      </x:c>
      <x:c r="M67" s="5">
        <x:f t="shared" si="11"/>
        <x:v>110000</x:v>
      </x:c>
      <x:c r="N67" s="6"/>
    </x:row>
    <x:row r="68" spans="1:14" ht="20.100000000000001" customHeight="1">
      <x:c r="A68" s="299"/>
      <x:c r="B68" s="3" t="s">
        <x:v>158</x:v>
      </x:c>
      <x:c r="C68" s="3" t="s">
        <x:v>149</x:v>
      </x:c>
      <x:c r="D68" s="4">
        <x:v>300000</x:v>
      </x:c>
      <x:c r="E68" s="4"/>
      <x:c r="F68" s="5">
        <x:f>+D68+E68</x:f>
        <x:v>300000</x:v>
      </x:c>
      <x:c r="G68" s="6"/>
      <x:c r="H68" s="299"/>
      <x:c r="I68" s="3" t="s">
        <x:v>919</x:v>
      </x:c>
      <x:c r="J68" s="3" t="s">
        <x:v>914</x:v>
      </x:c>
      <x:c r="K68" s="4">
        <x:v>40000</x:v>
      </x:c>
      <x:c r="L68" s="4">
        <x:f t="shared" si="12"/>
        <x:v>4000</x:v>
      </x:c>
      <x:c r="M68" s="5">
        <x:f t="shared" si="11"/>
        <x:v>44000</x:v>
      </x:c>
      <x:c r="N68" s="6"/>
    </x:row>
    <x:row r="69" spans="1:14" ht="20.100000000000001" customHeight="1">
      <x:c r="A69" s="299"/>
      <x:c r="B69" s="3" t="s">
        <x:v>924</x:v>
      </x:c>
      <x:c r="C69" s="3" t="s">
        <x:v>167</x:v>
      </x:c>
      <x:c r="D69" s="4">
        <x:v>21000</x:v>
      </x:c>
      <x:c r="E69" s="4">
        <x:f>+D69*0.1</x:f>
        <x:v>2100</x:v>
      </x:c>
      <x:c r="F69" s="5">
        <x:f t="shared" ref="F69:F75" si="13">+D69+E69</x:f>
        <x:v>23100</x:v>
      </x:c>
      <x:c r="G69" s="6"/>
      <x:c r="H69" s="299"/>
      <x:c r="I69" s="3" t="s">
        <x:v>926</x:v>
      </x:c>
      <x:c r="J69" s="3" t="s">
        <x:v>927</x:v>
      </x:c>
      <x:c r="K69" s="4">
        <x:v>367870</x:v>
      </x:c>
      <x:c r="L69" s="4"/>
      <x:c r="M69" s="5">
        <x:f t="shared" si="11"/>
        <x:v>367870</x:v>
      </x:c>
      <x:c r="N69" s="6"/>
    </x:row>
    <x:row r="70" spans="1:14" ht="20.100000000000001" customHeight="1">
      <x:c r="A70" s="299"/>
      <x:c r="B70" s="3" t="s">
        <x:v>947</x:v>
      </x:c>
      <x:c r="C70" s="3" t="s">
        <x:v>914</x:v>
      </x:c>
      <x:c r="D70" s="4">
        <x:v>100000</x:v>
      </x:c>
      <x:c r="E70" s="4">
        <x:f>+D70*0.1</x:f>
        <x:v>10000</x:v>
      </x:c>
      <x:c r="F70" s="5">
        <x:f t="shared" si="13"/>
        <x:v>110000</x:v>
      </x:c>
      <x:c r="G70" s="6"/>
      <x:c r="H70" s="299"/>
      <x:c r="I70" s="3" t="s">
        <x:v>931</x:v>
      </x:c>
      <x:c r="J70" s="3" t="s">
        <x:v>962</x:v>
      </x:c>
      <x:c r="K70" s="4"/>
      <x:c r="L70" s="4">
        <x:f t="shared" si="12"/>
        <x:v>0</x:v>
      </x:c>
      <x:c r="M70" s="5">
        <x:f t="shared" si="11"/>
        <x:v>0</x:v>
      </x:c>
      <x:c r="N70" s="6"/>
    </x:row>
    <x:row r="71" spans="1:14" ht="20.100000000000001" customHeight="1">
      <x:c r="A71" s="299"/>
      <x:c r="B71" s="3" t="s">
        <x:v>963</x:v>
      </x:c>
      <x:c r="C71" s="3" t="s">
        <x:v>957</x:v>
      </x:c>
      <x:c r="D71" s="4">
        <x:v>400000</x:v>
      </x:c>
      <x:c r="E71" s="4">
        <x:f>+D71*0.1</x:f>
        <x:v>40000</x:v>
      </x:c>
      <x:c r="F71" s="5">
        <x:f t="shared" si="13"/>
        <x:v>440000</x:v>
      </x:c>
      <x:c r="G71" s="6"/>
      <x:c r="H71" s="299"/>
      <x:c r="I71" s="3" t="s">
        <x:v>945</x:v>
      </x:c>
      <x:c r="J71" s="3" t="s">
        <x:v>962</x:v>
      </x:c>
      <x:c r="K71" s="4">
        <x:v>138000</x:v>
      </x:c>
      <x:c r="L71" s="4">
        <x:f t="shared" si="12"/>
        <x:v>13800</x:v>
      </x:c>
      <x:c r="M71" s="5">
        <x:f t="shared" si="11"/>
        <x:v>151800</x:v>
      </x:c>
      <x:c r="N71" s="6"/>
    </x:row>
    <x:row r="72" spans="1:14" ht="20.100000000000001" customHeight="1">
      <x:c r="A72" s="299"/>
      <x:c r="B72" s="3" t="s">
        <x:v>943</x:v>
      </x:c>
      <x:c r="C72" s="3" t="s">
        <x:v>962</x:v>
      </x:c>
      <x:c r="D72" s="4">
        <x:v>245000</x:v>
      </x:c>
      <x:c r="E72" s="4">
        <x:f>+D72*0.1</x:f>
        <x:v>24500</x:v>
      </x:c>
      <x:c r="F72" s="5">
        <x:f t="shared" si="13"/>
        <x:v>269500</x:v>
      </x:c>
      <x:c r="G72" s="6"/>
      <x:c r="H72" s="299"/>
      <x:c r="I72" s="3"/>
      <x:c r="J72" s="3"/>
      <x:c r="K72" s="4"/>
      <x:c r="L72" s="4">
        <x:f t="shared" si="12"/>
        <x:v>0</x:v>
      </x:c>
      <x:c r="M72" s="5">
        <x:f t="shared" si="11"/>
        <x:v>0</x:v>
      </x:c>
      <x:c r="N72" s="6"/>
    </x:row>
    <x:row r="73" spans="1:14" ht="20.100000000000001" customHeight="1">
      <x:c r="A73" s="299"/>
      <x:c r="B73" s="3"/>
      <x:c r="C73" s="3"/>
      <x:c r="D73" s="4"/>
      <x:c r="E73" s="4"/>
      <x:c r="F73" s="5">
        <x:f t="shared" si="13"/>
        <x:v>0</x:v>
      </x:c>
      <x:c r="G73" s="6"/>
      <x:c r="H73" s="299"/>
      <x:c r="I73" s="3"/>
      <x:c r="J73" s="3"/>
      <x:c r="K73" s="4"/>
      <x:c r="L73" s="4">
        <x:f t="shared" si="12"/>
        <x:v>0</x:v>
      </x:c>
      <x:c r="M73" s="5">
        <x:f t="shared" si="11"/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/>
      <x:c r="F74" s="5">
        <x:f t="shared" si="13"/>
        <x:v>0</x:v>
      </x:c>
      <x:c r="G74" s="6"/>
      <x:c r="H74" s="299"/>
      <x:c r="I74" s="3"/>
      <x:c r="J74" s="3"/>
      <x:c r="K74" s="4"/>
      <x:c r="L74" s="4"/>
      <x:c r="M74" s="5"/>
      <x:c r="N74" s="6"/>
    </x:row>
    <x:row r="75" spans="1:14" ht="20.100000000000001" customHeight="1">
      <x:c r="A75" s="300"/>
      <x:c r="B75" s="3"/>
      <x:c r="C75" s="3"/>
      <x:c r="D75" s="4"/>
      <x:c r="E75" s="4"/>
      <x:c r="F75" s="5">
        <x:f t="shared" si="13"/>
        <x:v>0</x:v>
      </x:c>
      <x:c r="G75" s="6"/>
      <x:c r="H75" s="300"/>
      <x:c r="I75" s="3"/>
      <x:c r="J75" s="3"/>
      <x:c r="K75" s="4"/>
      <x:c r="L75" s="4">
        <x:f>+K75*0.1</x:f>
        <x:v>0</x:v>
      </x:c>
      <x:c r="M75" s="5">
        <x:f>+K75+L75</x:f>
        <x:v>0</x:v>
      </x:c>
      <x:c r="N75" s="6"/>
    </x:row>
    <x:row r="76" spans="1:14" ht="20.100000000000001" customHeight="1">
      <x:c r="A76" s="7" t="s">
        <x:v>155</x:v>
      </x:c>
      <x:c r="B76" s="8"/>
      <x:c r="C76" s="8"/>
      <x:c r="D76" s="9">
        <x:f>SUM(D66:D75)</x:f>
        <x:v>2189800</x:v>
      </x:c>
      <x:c r="E76" s="9">
        <x:f>SUM(E66:E75)</x:f>
        <x:v>76600</x:v>
      </x:c>
      <x:c r="F76" s="10">
        <x:f>SUM(F66:F75)</x:f>
        <x:v>2266400</x:v>
      </x:c>
      <x:c r="G76" s="11"/>
      <x:c r="H76" s="7"/>
      <x:c r="I76" s="8"/>
      <x:c r="J76" s="8"/>
      <x:c r="K76" s="9">
        <x:f>SUM(K66:K75)</x:f>
        <x:v>1175690</x:v>
      </x:c>
      <x:c r="L76" s="9">
        <x:f>SUM(L66:L75)</x:f>
        <x:v>27800</x:v>
      </x:c>
      <x:c r="M76" s="10">
        <x:f>SUM(M66:M75)</x:f>
        <x:v>1203490</x:v>
      </x:c>
      <x:c r="N76" s="11"/>
    </x:row>
    <x:row r="77" spans="1:14" ht="20.100000000000001" customHeight="1">
      <x:c r="A77" s="12" t="s">
        <x:v>1690</x:v>
      </x:c>
      <x:c r="B77" s="13"/>
      <x:c r="C77" s="13"/>
      <x:c r="D77" s="14">
        <x:f>+D55+D60+D65+D76</x:f>
        <x:v>23712680</x:v>
      </x:c>
      <x:c r="E77" s="14">
        <x:f>+E55+E60+E65+E76</x:f>
        <x:v>1011388</x:v>
      </x:c>
      <x:c r="F77" s="15">
        <x:f>+F55+F60+F65+F76</x:f>
        <x:v>24724068</x:v>
      </x:c>
      <x:c r="G77" s="16"/>
      <x:c r="H77" s="12"/>
      <x:c r="I77" s="13"/>
      <x:c r="J77" s="13"/>
      <x:c r="K77" s="14">
        <x:f>+K55+K60+K65+K76</x:f>
        <x:v>10368000</x:v>
      </x:c>
      <x:c r="L77" s="14">
        <x:f>+L55+L60+L65+L76</x:f>
        <x:v>250031</x:v>
      </x:c>
      <x:c r="M77" s="15">
        <x:f>+M55+M60+M65+M76</x:f>
        <x:v>10618031</x:v>
      </x:c>
      <x:c r="N77" s="16"/>
    </x:row>
    <x:row r="78" spans="1:14" ht="20.100000000000001" customHeight="1">
      <x:c r="A78" s="23" t="s">
        <x:v>35</x:v>
      </x:c>
      <x:c r="B78" s="24"/>
      <x:c r="C78" s="24"/>
      <x:c r="D78" s="25">
        <x:f>+D39-D77</x:f>
        <x:v>-13712680</x:v>
      </x:c>
      <x:c r="E78" s="25">
        <x:f>+E39-E77</x:f>
        <x:v>-271968</x:v>
      </x:c>
      <x:c r="F78" s="26">
        <x:f>+F39-F77</x:f>
        <x:v>-13984648</x:v>
      </x:c>
      <x:c r="G78" s="27"/>
      <x:c r="H78" s="23"/>
      <x:c r="I78" s="24"/>
      <x:c r="J78" s="24"/>
      <x:c r="K78" s="25">
        <x:f>+K39-K77</x:f>
        <x:v>902000</x:v>
      </x:c>
      <x:c r="L78" s="25">
        <x:f>+L39-L77</x:f>
        <x:v>-120031</x:v>
      </x:c>
      <x:c r="M78" s="26">
        <x:f>+M39-M77</x:f>
        <x:v>781969</x:v>
      </x:c>
      <x:c r="N78" s="27"/>
    </x:row>
    <x:row r="79" spans="1:14" ht="20.100000000000001" customHeight="1">
      <x:c r="A79" s="302" t="s">
        <x:v>316</x:v>
      </x:c>
      <x:c r="B79" s="303"/>
      <x:c r="C79" s="303"/>
      <x:c r="D79" s="303"/>
      <x:c r="E79" s="303"/>
      <x:c r="F79" s="304"/>
      <x:c r="G79" s="305"/>
      <x:c r="H79" s="302" t="s">
        <x:v>333</x:v>
      </x:c>
      <x:c r="I79" s="303"/>
      <x:c r="J79" s="303"/>
      <x:c r="K79" s="303"/>
      <x:c r="L79" s="303"/>
      <x:c r="M79" s="304"/>
      <x:c r="N79" s="305"/>
    </x:row>
    <x:row r="80" spans="1:14" ht="20.100000000000001" customHeight="1">
      <x:c r="A80" s="29" t="s">
        <x:v>147</x:v>
      </x:c>
      <x:c r="B80" s="30" t="s">
        <x:v>144</x:v>
      </x:c>
      <x:c r="C80" s="30" t="s">
        <x:v>150</x:v>
      </x:c>
      <x:c r="D80" s="31" t="s">
        <x:v>145</x:v>
      </x:c>
      <x:c r="E80" s="31" t="s">
        <x:v>152</x:v>
      </x:c>
      <x:c r="F80" s="32" t="s">
        <x:v>146</x:v>
      </x:c>
      <x:c r="G80" s="33" t="s">
        <x:v>154</x:v>
      </x:c>
      <x:c r="H80" s="29" t="s">
        <x:v>147</x:v>
      </x:c>
      <x:c r="I80" s="30" t="s">
        <x:v>144</x:v>
      </x:c>
      <x:c r="J80" s="30" t="s">
        <x:v>150</x:v>
      </x:c>
      <x:c r="K80" s="31" t="s">
        <x:v>145</x:v>
      </x:c>
      <x:c r="L80" s="31" t="s">
        <x:v>152</x:v>
      </x:c>
      <x:c r="M80" s="31" t="s">
        <x:v>146</x:v>
      </x:c>
      <x:c r="N80" s="34" t="s">
        <x:v>154</x:v>
      </x:c>
    </x:row>
    <x:row r="81" spans="1:14" ht="20.100000000000001" customHeight="1">
      <x:c r="A81" s="51" t="s">
        <x:v>151</x:v>
      </x:c>
      <x:c r="B81" s="38" t="s">
        <x:v>1679</x:v>
      </x:c>
      <x:c r="C81" s="38" t="s">
        <x:v>906</x:v>
      </x:c>
      <x:c r="D81" s="39"/>
      <x:c r="E81" s="39">
        <x:f>+D81*0.1</x:f>
        <x:v>0</x:v>
      </x:c>
      <x:c r="F81" s="40">
        <x:f>+D81+E81</x:f>
        <x:v>0</x:v>
      </x:c>
      <x:c r="G81" s="18"/>
      <x:c r="H81" s="41" t="s">
        <x:v>151</x:v>
      </x:c>
      <x:c r="I81" s="38" t="s">
        <x:v>1679</x:v>
      </x:c>
      <x:c r="J81" s="38" t="s">
        <x:v>906</x:v>
      </x:c>
      <x:c r="K81" s="39"/>
      <x:c r="L81" s="39"/>
      <x:c r="M81" s="40">
        <x:f>+K81+L81</x:f>
        <x:v>0</x:v>
      </x:c>
      <x:c r="N81" s="42"/>
    </x:row>
    <x:row r="82" spans="1:14" ht="20.100000000000001" customHeight="1">
      <x:c r="A82" s="298" t="s">
        <x:v>148</x:v>
      </x:c>
      <x:c r="B82" s="19" t="s">
        <x:v>907</x:v>
      </x:c>
      <x:c r="C82" s="19" t="s">
        <x:v>894</x:v>
      </x:c>
      <x:c r="D82" s="20">
        <x:v>100000</x:v>
      </x:c>
      <x:c r="E82" s="20">
        <x:f>+INT(D82*0.1)</x:f>
        <x:v>10000</x:v>
      </x:c>
      <x:c r="F82" s="21">
        <x:f>+D82+E82</x:f>
        <x:v>110000</x:v>
      </x:c>
      <x:c r="G82" s="22"/>
      <x:c r="H82" s="298" t="s">
        <x:v>148</x:v>
      </x:c>
      <x:c r="I82" s="19"/>
      <x:c r="J82" s="19"/>
      <x:c r="K82" s="20"/>
      <x:c r="L82" s="20">
        <x:f>+K82*0.1</x:f>
        <x:v>0</x:v>
      </x:c>
      <x:c r="M82" s="21">
        <x:f t="shared" ref="M82:M96" si="14">+K82+L82</x:f>
        <x:v>0</x:v>
      </x:c>
      <x:c r="N82" s="22"/>
    </x:row>
    <x:row r="83" spans="1:14" ht="20.100000000000001" customHeight="1">
      <x:c r="A83" s="299"/>
      <x:c r="B83" s="3"/>
      <x:c r="C83" s="3"/>
      <x:c r="D83" s="4"/>
      <x:c r="E83" s="4">
        <x:f t="shared" ref="E83:E95" si="15">+INT(D83*0.1)</x:f>
        <x:v>0</x:v>
      </x:c>
      <x:c r="F83" s="5">
        <x:f>+D83+E83</x:f>
        <x:v>0</x:v>
      </x:c>
      <x:c r="G83" s="6"/>
      <x:c r="H83" s="299"/>
      <x:c r="I83" s="3"/>
      <x:c r="J83" s="3"/>
      <x:c r="K83" s="4"/>
      <x:c r="L83" s="4">
        <x:f>+K83*0.1</x:f>
        <x:v>0</x:v>
      </x:c>
      <x:c r="M83" s="5">
        <x:f t="shared" si="14"/>
        <x:v>0</x:v>
      </x:c>
      <x:c r="N83" s="6"/>
    </x:row>
    <x:row r="84" spans="1:14" ht="20.100000000000001" customHeight="1">
      <x:c r="A84" s="299"/>
      <x:c r="B84" s="3"/>
      <x:c r="C84" s="3"/>
      <x:c r="D84" s="4"/>
      <x:c r="E84" s="4">
        <x:f t="shared" si="15"/>
        <x:v>0</x:v>
      </x:c>
      <x:c r="F84" s="5">
        <x:f>+D84+E84</x:f>
        <x:v>0</x:v>
      </x:c>
      <x:c r="G84" s="6"/>
      <x:c r="H84" s="299"/>
      <x:c r="I84" s="3"/>
      <x:c r="J84" s="3"/>
      <x:c r="K84" s="4"/>
      <x:c r="L84" s="4">
        <x:f t="shared" ref="L84:L96" si="16">+K84*0.1</x:f>
        <x:v>0</x:v>
      </x:c>
      <x:c r="M84" s="5">
        <x:f t="shared" si="14"/>
        <x:v>0</x:v>
      </x:c>
      <x:c r="N84" s="6"/>
    </x:row>
    <x:row r="85" spans="1:14" ht="20.100000000000001" customHeight="1">
      <x:c r="A85" s="299"/>
      <x:c r="B85" s="3"/>
      <x:c r="C85" s="3"/>
      <x:c r="D85" s="4"/>
      <x:c r="E85" s="4">
        <x:f t="shared" si="15"/>
        <x:v>0</x:v>
      </x:c>
      <x:c r="F85" s="5">
        <x:f t="shared" ref="F85:F95" si="17">+D85+E85</x:f>
        <x:v>0</x:v>
      </x:c>
      <x:c r="G85" s="6"/>
      <x:c r="H85" s="299"/>
      <x:c r="I85" s="3"/>
      <x:c r="J85" s="3"/>
      <x:c r="K85" s="4"/>
      <x:c r="L85" s="4">
        <x:f t="shared" si="16"/>
        <x:v>0</x:v>
      </x:c>
      <x:c r="M85" s="5">
        <x:f t="shared" si="14"/>
        <x:v>0</x:v>
      </x:c>
      <x:c r="N85" s="6"/>
    </x:row>
    <x:row r="86" spans="1:14" ht="20.100000000000001" customHeight="1">
      <x:c r="A86" s="299"/>
      <x:c r="B86" s="3"/>
      <x:c r="C86" s="3"/>
      <x:c r="D86" s="4"/>
      <x:c r="E86" s="4">
        <x:f t="shared" si="15"/>
        <x:v>0</x:v>
      </x:c>
      <x:c r="F86" s="5">
        <x:f t="shared" si="17"/>
        <x:v>0</x:v>
      </x:c>
      <x:c r="G86" s="6"/>
      <x:c r="H86" s="299"/>
      <x:c r="I86" s="3"/>
      <x:c r="J86" s="3"/>
      <x:c r="K86" s="4"/>
      <x:c r="L86" s="4">
        <x:f t="shared" si="16"/>
        <x:v>0</x:v>
      </x:c>
      <x:c r="M86" s="5">
        <x:f t="shared" si="14"/>
        <x:v>0</x:v>
      </x:c>
      <x:c r="N86" s="6"/>
    </x:row>
    <x:row r="87" spans="1:14" ht="20.100000000000001" customHeight="1">
      <x:c r="A87" s="299"/>
      <x:c r="B87" s="3"/>
      <x:c r="C87" s="3"/>
      <x:c r="D87" s="4"/>
      <x:c r="E87" s="4">
        <x:f t="shared" si="15"/>
        <x:v>0</x:v>
      </x:c>
      <x:c r="F87" s="5">
        <x:f t="shared" si="17"/>
        <x:v>0</x:v>
      </x:c>
      <x:c r="G87" s="6"/>
      <x:c r="H87" s="299"/>
      <x:c r="I87" s="3"/>
      <x:c r="J87" s="3"/>
      <x:c r="K87" s="4"/>
      <x:c r="L87" s="4">
        <x:f t="shared" si="16"/>
        <x:v>0</x:v>
      </x:c>
      <x:c r="M87" s="5">
        <x:f t="shared" si="14"/>
        <x:v>0</x:v>
      </x:c>
      <x:c r="N87" s="6"/>
    </x:row>
    <x:row r="88" spans="1:14" ht="20.100000000000001" customHeight="1">
      <x:c r="A88" s="299"/>
      <x:c r="B88" s="3"/>
      <x:c r="C88" s="3"/>
      <x:c r="D88" s="4"/>
      <x:c r="E88" s="4">
        <x:f t="shared" si="15"/>
        <x:v>0</x:v>
      </x:c>
      <x:c r="F88" s="5">
        <x:f t="shared" si="17"/>
        <x:v>0</x:v>
      </x:c>
      <x:c r="G88" s="6"/>
      <x:c r="H88" s="299"/>
      <x:c r="I88" s="3"/>
      <x:c r="J88" s="3"/>
      <x:c r="K88" s="4"/>
      <x:c r="L88" s="4">
        <x:f t="shared" si="16"/>
        <x:v>0</x:v>
      </x:c>
      <x:c r="M88" s="5">
        <x:f t="shared" si="14"/>
        <x:v>0</x:v>
      </x:c>
      <x:c r="N88" s="6"/>
    </x:row>
    <x:row r="89" spans="1:14" ht="20.100000000000001" customHeight="1">
      <x:c r="A89" s="299"/>
      <x:c r="B89" s="3"/>
      <x:c r="C89" s="3"/>
      <x:c r="D89" s="4"/>
      <x:c r="E89" s="4">
        <x:f t="shared" si="15"/>
        <x:v>0</x:v>
      </x:c>
      <x:c r="F89" s="5">
        <x:f t="shared" si="17"/>
        <x:v>0</x:v>
      </x:c>
      <x:c r="G89" s="6"/>
      <x:c r="H89" s="299"/>
      <x:c r="I89" s="3"/>
      <x:c r="J89" s="3"/>
      <x:c r="K89" s="4"/>
      <x:c r="L89" s="4">
        <x:f t="shared" si="16"/>
        <x:v>0</x:v>
      </x:c>
      <x:c r="M89" s="5">
        <x:f t="shared" si="14"/>
        <x:v>0</x:v>
      </x:c>
      <x:c r="N89" s="6"/>
    </x:row>
    <x:row r="90" spans="1:14" ht="20.100000000000001" customHeight="1">
      <x:c r="A90" s="299"/>
      <x:c r="B90" s="3"/>
      <x:c r="C90" s="3"/>
      <x:c r="D90" s="4"/>
      <x:c r="E90" s="4">
        <x:f t="shared" si="15"/>
        <x:v>0</x:v>
      </x:c>
      <x:c r="F90" s="5">
        <x:f t="shared" si="17"/>
        <x:v>0</x:v>
      </x:c>
      <x:c r="G90" s="6"/>
      <x:c r="H90" s="299"/>
      <x:c r="I90" s="3"/>
      <x:c r="J90" s="3"/>
      <x:c r="K90" s="4"/>
      <x:c r="L90" s="4">
        <x:f t="shared" si="16"/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5"/>
        <x:v>0</x:v>
      </x:c>
      <x:c r="F91" s="5">
        <x:f t="shared" si="17"/>
        <x:v>0</x:v>
      </x:c>
      <x:c r="G91" s="6"/>
      <x:c r="H91" s="299"/>
      <x:c r="I91" s="3"/>
      <x:c r="J91" s="3"/>
      <x:c r="K91" s="4"/>
      <x:c r="L91" s="4">
        <x:f t="shared" si="16"/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5"/>
        <x:v>0</x:v>
      </x:c>
      <x:c r="F92" s="5">
        <x:f t="shared" si="17"/>
        <x:v>0</x:v>
      </x:c>
      <x:c r="G92" s="6"/>
      <x:c r="H92" s="299"/>
      <x:c r="I92" s="3"/>
      <x:c r="J92" s="3"/>
      <x:c r="K92" s="4"/>
      <x:c r="L92" s="4">
        <x:f t="shared" si="16"/>
        <x:v>0</x:v>
      </x:c>
      <x:c r="M92" s="5">
        <x:f t="shared" si="14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5"/>
        <x:v>0</x:v>
      </x:c>
      <x:c r="F93" s="5">
        <x:f t="shared" si="17"/>
        <x:v>0</x:v>
      </x:c>
      <x:c r="G93" s="6"/>
      <x:c r="H93" s="299"/>
      <x:c r="I93" s="3"/>
      <x:c r="J93" s="3"/>
      <x:c r="K93" s="4"/>
      <x:c r="L93" s="4">
        <x:f t="shared" si="16"/>
        <x:v>0</x:v>
      </x:c>
      <x:c r="M93" s="5">
        <x:f t="shared" si="14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5"/>
        <x:v>0</x:v>
      </x:c>
      <x:c r="F94" s="5">
        <x:f t="shared" si="17"/>
        <x:v>0</x:v>
      </x:c>
      <x:c r="G94" s="6"/>
      <x:c r="H94" s="299"/>
      <x:c r="I94" s="3"/>
      <x:c r="J94" s="3"/>
      <x:c r="K94" s="4"/>
      <x:c r="L94" s="4">
        <x:f t="shared" si="16"/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5"/>
        <x:v>0</x:v>
      </x:c>
      <x:c r="F95" s="5">
        <x:f t="shared" si="17"/>
        <x:v>0</x:v>
      </x:c>
      <x:c r="G95" s="6"/>
      <x:c r="H95" s="299"/>
      <x:c r="I95" s="3"/>
      <x:c r="J95" s="3"/>
      <x:c r="K95" s="4"/>
      <x:c r="L95" s="4">
        <x:f t="shared" si="16"/>
        <x:v>0</x:v>
      </x:c>
      <x:c r="M95" s="5">
        <x:f t="shared" si="14"/>
        <x:v>0</x:v>
      </x:c>
      <x:c r="N95" s="6"/>
    </x:row>
    <x:row r="96" spans="1:14" ht="20.100000000000001" customHeight="1">
      <x:c r="A96" s="300"/>
      <x:c r="B96" s="3"/>
      <x:c r="C96" s="3"/>
      <x:c r="D96" s="4"/>
      <x:c r="E96" s="4"/>
      <x:c r="F96" s="5"/>
      <x:c r="G96" s="6"/>
      <x:c r="H96" s="300"/>
      <x:c r="I96" s="3"/>
      <x:c r="J96" s="3"/>
      <x:c r="K96" s="4"/>
      <x:c r="L96" s="4">
        <x:f t="shared" si="16"/>
        <x:v>0</x:v>
      </x:c>
      <x:c r="M96" s="5">
        <x:f t="shared" si="14"/>
        <x:v>0</x:v>
      </x:c>
      <x:c r="N96" s="6"/>
    </x:row>
    <x:row r="97" spans="1:14" ht="20.100000000000001" customHeight="1">
      <x:c r="A97" s="7" t="s">
        <x:v>155</x:v>
      </x:c>
      <x:c r="B97" s="8"/>
      <x:c r="C97" s="8"/>
      <x:c r="D97" s="9">
        <x:f>SUM(D82:D96)</x:f>
        <x:v>100000</x:v>
      </x:c>
      <x:c r="E97" s="9">
        <x:f>SUM(E82:E96)</x:f>
        <x:v>10000</x:v>
      </x:c>
      <x:c r="F97" s="10">
        <x:f>SUM(F82:F96)</x:f>
        <x:v>110000</x:v>
      </x:c>
      <x:c r="G97" s="11"/>
      <x:c r="H97" s="7"/>
      <x:c r="I97" s="8"/>
      <x:c r="J97" s="8"/>
      <x:c r="K97" s="9">
        <x:f>SUM(K82:K96)</x:f>
        <x:v>0</x:v>
      </x:c>
      <x:c r="L97" s="9">
        <x:f>SUM(L82:L96)</x:f>
        <x:v>0</x:v>
      </x:c>
      <x:c r="M97" s="10">
        <x:f>SUM(M82:M96)</x:f>
        <x:v>0</x:v>
      </x:c>
      <x:c r="N97" s="11"/>
    </x:row>
    <x:row r="98" spans="1:14" ht="20.100000000000001" customHeight="1">
      <x:c r="A98" s="301" t="s">
        <x:v>153</x:v>
      </x:c>
      <x:c r="B98" s="3"/>
      <x:c r="C98" s="3"/>
      <x:c r="D98" s="44"/>
      <x:c r="E98" s="44">
        <x:f>+D98*0.1</x:f>
        <x:v>0</x:v>
      </x:c>
      <x:c r="F98" s="45">
        <x:f>+D98+E98</x:f>
        <x:v>0</x:v>
      </x:c>
      <x:c r="G98" s="37"/>
      <x:c r="H98" s="301" t="s">
        <x:v>153</x:v>
      </x:c>
      <x:c r="I98" s="3"/>
      <x:c r="J98" s="3"/>
      <x:c r="K98" s="4"/>
      <x:c r="L98" s="4"/>
      <x:c r="M98" s="5">
        <x:f>+K98+L98</x:f>
        <x:v>0</x:v>
      </x:c>
      <x:c r="N98" s="6"/>
    </x:row>
    <x:row r="99" spans="1:14" ht="20.100000000000001" customHeight="1">
      <x:c r="A99" s="299"/>
      <x:c r="B99" s="3"/>
      <x:c r="C99" s="3"/>
      <x:c r="D99" s="44"/>
      <x:c r="E99" s="44">
        <x:f>+D99*0.1</x:f>
        <x:v>0</x:v>
      </x:c>
      <x:c r="F99" s="45">
        <x:f>+D99+E99</x:f>
        <x:v>0</x:v>
      </x:c>
      <x:c r="G99" s="37"/>
      <x:c r="H99" s="299"/>
      <x:c r="I99" s="3"/>
      <x:c r="J99" s="3"/>
      <x:c r="K99" s="4"/>
      <x:c r="L99" s="4">
        <x:f>+K99*0.1</x:f>
        <x:v>0</x:v>
      </x:c>
      <x:c r="M99" s="5">
        <x:f>+K99+L99</x:f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>+K100*0.1</x:f>
        <x:v>0</x:v>
      </x:c>
      <x:c r="M100" s="5">
        <x:f>+K100+L100</x:f>
        <x:v>0</x:v>
      </x:c>
      <x:c r="N100" s="6"/>
    </x:row>
    <x:row r="101" spans="1:14" ht="20.100000000000001" customHeight="1">
      <x:c r="A101" s="300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300"/>
      <x:c r="I101" s="3"/>
      <x:c r="J101" s="3"/>
      <x:c r="K101" s="4"/>
      <x:c r="L101" s="4">
        <x:f>+K101*0.1</x:f>
        <x:v>0</x:v>
      </x:c>
      <x:c r="M101" s="5">
        <x:f>+K101+L101</x:f>
        <x:v>0</x:v>
      </x:c>
      <x:c r="N101" s="6"/>
    </x:row>
    <x:row r="102" spans="1:14" ht="20.100000000000001" customHeight="1">
      <x:c r="A102" s="7" t="s">
        <x:v>155</x:v>
      </x:c>
      <x:c r="B102" s="8"/>
      <x:c r="C102" s="8"/>
      <x:c r="D102" s="9">
        <x:f>SUM(D98:D101)</x:f>
        <x:v>0</x:v>
      </x:c>
      <x:c r="E102" s="9">
        <x:f>SUM(E98:E101)</x:f>
        <x:v>0</x:v>
      </x:c>
      <x:c r="F102" s="10">
        <x:f>SUM(F98:F101)</x:f>
        <x:v>0</x:v>
      </x:c>
      <x:c r="G102" s="11"/>
      <x:c r="H102" s="7"/>
      <x:c r="I102" s="8"/>
      <x:c r="J102" s="8"/>
      <x:c r="K102" s="9">
        <x:f>SUM(K98:K101)</x:f>
        <x:v>0</x:v>
      </x:c>
      <x:c r="L102" s="9">
        <x:f>SUM(L98:L101)</x:f>
        <x:v>0</x:v>
      </x:c>
      <x:c r="M102" s="10">
        <x:f>SUM(M98:M101)</x:f>
        <x:v>0</x:v>
      </x:c>
      <x:c r="N102" s="11"/>
    </x:row>
    <x:row r="103" spans="1:14" ht="20.100000000000001" customHeight="1">
      <x:c r="A103" s="301" t="s">
        <x:v>187</x:v>
      </x:c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301" t="s">
        <x:v>187</x:v>
      </x:c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299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299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300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300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7" t="s">
        <x:v>155</x:v>
      </x:c>
      <x:c r="B107" s="8"/>
      <x:c r="C107" s="8"/>
      <x:c r="D107" s="9">
        <x:f>SUM(D103:D106)</x:f>
        <x:v>0</x:v>
      </x:c>
      <x:c r="E107" s="9">
        <x:f>SUM(E103:E106)</x:f>
        <x:v>0</x:v>
      </x:c>
      <x:c r="F107" s="10">
        <x:f>SUM(F103:F106)</x:f>
        <x:v>0</x:v>
      </x:c>
      <x:c r="G107" s="11"/>
      <x:c r="H107" s="7"/>
      <x:c r="I107" s="8"/>
      <x:c r="J107" s="8"/>
      <x:c r="K107" s="9">
        <x:f>SUM(K103:K106)</x:f>
        <x:v>0</x:v>
      </x:c>
      <x:c r="L107" s="9">
        <x:f>SUM(L103:L106)</x:f>
        <x:v>0</x:v>
      </x:c>
      <x:c r="M107" s="10">
        <x:f>SUM(M103:M106)</x:f>
        <x:v>0</x:v>
      </x:c>
      <x:c r="N107" s="11"/>
    </x:row>
    <x:row r="108" spans="1:14" ht="20.100000000000001" customHeight="1">
      <x:c r="A108" s="301" t="s">
        <x:v>149</x:v>
      </x:c>
      <x:c r="B108" s="3"/>
      <x:c r="C108" s="3"/>
      <x:c r="D108" s="4"/>
      <x:c r="E108" s="4"/>
      <x:c r="F108" s="5">
        <x:f>+D108+E108</x:f>
        <x:v>0</x:v>
      </x:c>
      <x:c r="G108" s="6"/>
      <x:c r="H108" s="301" t="s">
        <x:v>149</x:v>
      </x:c>
      <x:c r="I108" s="3"/>
      <x:c r="J108" s="3"/>
      <x:c r="K108" s="4"/>
      <x:c r="L108" s="4">
        <x:f>+K108*0.1</x:f>
        <x:v>0</x:v>
      </x:c>
      <x:c r="M108" s="5">
        <x:f t="shared" ref="M108:M115" si="18"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/>
      <x:c r="F109" s="5">
        <x:f>+D109+E109</x:f>
        <x:v>0</x:v>
      </x:c>
      <x:c r="G109" s="6"/>
      <x:c r="H109" s="299"/>
      <x:c r="I109" s="3"/>
      <x:c r="J109" s="3"/>
      <x:c r="K109" s="4"/>
      <x:c r="L109" s="4">
        <x:f t="shared" ref="L109:L115" si="19">+K109*0.1</x:f>
        <x:v>0</x:v>
      </x:c>
      <x:c r="M109" s="5">
        <x:f t="shared" si="18"/>
        <x:v>0</x:v>
      </x:c>
      <x:c r="N109" s="6"/>
    </x:row>
    <x:row r="110" spans="1:14" ht="20.100000000000001" customHeight="1">
      <x:c r="A110" s="299"/>
      <x:c r="B110" s="3"/>
      <x:c r="C110" s="3"/>
      <x:c r="D110" s="4"/>
      <x:c r="E110" s="4"/>
      <x:c r="F110" s="5">
        <x:f>+D110+E110</x:f>
        <x:v>0</x:v>
      </x:c>
      <x:c r="G110" s="6"/>
      <x:c r="H110" s="299"/>
      <x:c r="I110" s="3"/>
      <x:c r="J110" s="3"/>
      <x:c r="K110" s="4"/>
      <x:c r="L110" s="4">
        <x:f t="shared" si="19"/>
        <x:v>0</x:v>
      </x:c>
      <x:c r="M110" s="5">
        <x:f t="shared" si="18"/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/>
      <x:c r="F111" s="5">
        <x:f t="shared" ref="F111:F117" si="20">+D111+E111</x:f>
        <x:v>0</x:v>
      </x:c>
      <x:c r="G111" s="6"/>
      <x:c r="H111" s="299"/>
      <x:c r="I111" s="3"/>
      <x:c r="J111" s="3"/>
      <x:c r="K111" s="4"/>
      <x:c r="L111" s="4"/>
      <x:c r="M111" s="5">
        <x:f t="shared" si="18"/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/>
      <x:c r="F112" s="5">
        <x:f t="shared" si="20"/>
        <x:v>0</x:v>
      </x:c>
      <x:c r="G112" s="6"/>
      <x:c r="H112" s="299"/>
      <x:c r="I112" s="3"/>
      <x:c r="J112" s="3"/>
      <x:c r="K112" s="4"/>
      <x:c r="L112" s="4">
        <x:f t="shared" si="19"/>
        <x:v>0</x:v>
      </x:c>
      <x:c r="M112" s="5">
        <x:f t="shared" si="18"/>
        <x:v>0</x:v>
      </x:c>
      <x:c r="N112" s="6"/>
    </x:row>
    <x:row r="113" spans="1:14" ht="20.100000000000001" customHeight="1">
      <x:c r="A113" s="299"/>
      <x:c r="B113" s="3"/>
      <x:c r="C113" s="3"/>
      <x:c r="D113" s="4"/>
      <x:c r="E113" s="4"/>
      <x:c r="F113" s="5">
        <x:f t="shared" si="20"/>
        <x:v>0</x:v>
      </x:c>
      <x:c r="G113" s="6"/>
      <x:c r="H113" s="299"/>
      <x:c r="I113" s="3"/>
      <x:c r="J113" s="3"/>
      <x:c r="K113" s="4"/>
      <x:c r="L113" s="4">
        <x:f t="shared" si="19"/>
        <x:v>0</x:v>
      </x:c>
      <x:c r="M113" s="5">
        <x:f t="shared" si="18"/>
        <x:v>0</x:v>
      </x:c>
      <x:c r="N113" s="6"/>
    </x:row>
    <x:row r="114" spans="1:14" ht="20.100000000000001" customHeight="1">
      <x:c r="A114" s="299"/>
      <x:c r="B114" s="3"/>
      <x:c r="C114" s="3"/>
      <x:c r="D114" s="4"/>
      <x:c r="E114" s="4"/>
      <x:c r="F114" s="5">
        <x:f t="shared" si="20"/>
        <x:v>0</x:v>
      </x:c>
      <x:c r="G114" s="6"/>
      <x:c r="H114" s="299"/>
      <x:c r="I114" s="3"/>
      <x:c r="J114" s="3"/>
      <x:c r="K114" s="4"/>
      <x:c r="L114" s="4">
        <x:f t="shared" si="19"/>
        <x:v>0</x:v>
      </x:c>
      <x:c r="M114" s="5">
        <x:f t="shared" si="18"/>
        <x:v>0</x:v>
      </x:c>
      <x:c r="N114" s="6"/>
    </x:row>
    <x:row r="115" spans="1:14" ht="20.100000000000001" customHeight="1">
      <x:c r="A115" s="299"/>
      <x:c r="B115" s="3"/>
      <x:c r="C115" s="3"/>
      <x:c r="D115" s="4"/>
      <x:c r="E115" s="4"/>
      <x:c r="F115" s="5">
        <x:f t="shared" si="20"/>
        <x:v>0</x:v>
      </x:c>
      <x:c r="G115" s="6"/>
      <x:c r="H115" s="299"/>
      <x:c r="I115" s="3"/>
      <x:c r="J115" s="3"/>
      <x:c r="K115" s="4"/>
      <x:c r="L115" s="4">
        <x:f t="shared" si="19"/>
        <x:v>0</x:v>
      </x:c>
      <x:c r="M115" s="5">
        <x:f t="shared" si="18"/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20"/>
        <x:v>0</x:v>
      </x:c>
      <x:c r="G116" s="6"/>
      <x:c r="H116" s="299"/>
      <x:c r="I116" s="3"/>
      <x:c r="J116" s="3"/>
      <x:c r="K116" s="4"/>
      <x:c r="L116" s="4"/>
      <x:c r="M116" s="5"/>
      <x:c r="N116" s="6"/>
    </x:row>
    <x:row r="117" spans="1:14" ht="20.100000000000001" customHeight="1">
      <x:c r="A117" s="300"/>
      <x:c r="B117" s="3"/>
      <x:c r="C117" s="3"/>
      <x:c r="D117" s="4"/>
      <x:c r="E117" s="4"/>
      <x:c r="F117" s="5">
        <x:f t="shared" si="20"/>
        <x:v>0</x:v>
      </x:c>
      <x:c r="G117" s="6"/>
      <x:c r="H117" s="300"/>
      <x:c r="I117" s="3"/>
      <x:c r="J117" s="3"/>
      <x:c r="K117" s="4"/>
      <x:c r="L117" s="4">
        <x:f>+K117*0.1</x:f>
        <x:v>0</x:v>
      </x:c>
      <x:c r="M117" s="5">
        <x:f>+K117+L117</x:f>
        <x:v>0</x:v>
      </x:c>
      <x:c r="N117" s="6"/>
    </x:row>
    <x:row r="118" spans="1:14" ht="20.100000000000001" customHeight="1">
      <x:c r="A118" s="7" t="s">
        <x:v>155</x:v>
      </x:c>
      <x:c r="B118" s="8"/>
      <x:c r="C118" s="8"/>
      <x:c r="D118" s="9">
        <x:f>SUM(D108:D117)</x:f>
        <x:v>0</x:v>
      </x:c>
      <x:c r="E118" s="9">
        <x:f>SUM(E108:E117)</x:f>
        <x:v>0</x:v>
      </x:c>
      <x:c r="F118" s="10">
        <x:f>SUM(F108:F117)</x:f>
        <x:v>0</x:v>
      </x:c>
      <x:c r="G118" s="11"/>
      <x:c r="H118" s="7"/>
      <x:c r="I118" s="8"/>
      <x:c r="J118" s="8"/>
      <x:c r="K118" s="9">
        <x:f>SUM(K108:K117)</x:f>
        <x:v>0</x:v>
      </x:c>
      <x:c r="L118" s="9">
        <x:f>SUM(L108:L117)</x:f>
        <x:v>0</x:v>
      </x:c>
      <x:c r="M118" s="10">
        <x:f>SUM(M108:M117)</x:f>
        <x:v>0</x:v>
      </x:c>
      <x:c r="N118" s="11"/>
    </x:row>
    <x:row r="119" spans="1:14" ht="20.100000000000001" customHeight="1">
      <x:c r="A119" s="12" t="s">
        <x:v>1690</x:v>
      </x:c>
      <x:c r="B119" s="13"/>
      <x:c r="C119" s="13"/>
      <x:c r="D119" s="14">
        <x:f>+D97+D102+D107+D118</x:f>
        <x:v>100000</x:v>
      </x:c>
      <x:c r="E119" s="14">
        <x:f>+E97+E102+E107+E118</x:f>
        <x:v>10000</x:v>
      </x:c>
      <x:c r="F119" s="15">
        <x:f>+F97+F102+F107+F118</x:f>
        <x:v>110000</x:v>
      </x:c>
      <x:c r="G119" s="16"/>
      <x:c r="H119" s="12"/>
      <x:c r="I119" s="13"/>
      <x:c r="J119" s="13"/>
      <x:c r="K119" s="14">
        <x:f>+K97+K102+K107+K118</x:f>
        <x:v>0</x:v>
      </x:c>
      <x:c r="L119" s="14">
        <x:f>+L97+L102+L107+L118</x:f>
        <x:v>0</x:v>
      </x:c>
      <x:c r="M119" s="15">
        <x:f>+M97+M102+M107+M118</x:f>
        <x:v>0</x:v>
      </x:c>
      <x:c r="N119" s="16"/>
    </x:row>
    <x:row r="120" spans="1:14" ht="20.100000000000001" customHeight="1">
      <x:c r="A120" s="23" t="s">
        <x:v>35</x:v>
      </x:c>
      <x:c r="B120" s="24"/>
      <x:c r="C120" s="24"/>
      <x:c r="D120" s="25">
        <x:f>+D81-D119</x:f>
        <x:v>-100000</x:v>
      </x:c>
      <x:c r="E120" s="25">
        <x:f>+E81-E119</x:f>
        <x:v>-10000</x:v>
      </x:c>
      <x:c r="F120" s="26">
        <x:f>+F81-F119</x:f>
        <x:v>-110000</x:v>
      </x:c>
      <x:c r="G120" s="27"/>
      <x:c r="H120" s="23"/>
      <x:c r="I120" s="24"/>
      <x:c r="J120" s="24"/>
      <x:c r="K120" s="25">
        <x:f>+K81-K119</x:f>
        <x:v>0</x:v>
      </x:c>
      <x:c r="L120" s="25">
        <x:f>+L81-L119</x:f>
        <x:v>0</x:v>
      </x:c>
      <x:c r="M120" s="26">
        <x:f>+M81-M119</x:f>
        <x:v>0</x:v>
      </x:c>
      <x:c r="N120" s="27"/>
    </x:row>
    <x:row r="123" spans="1:13">
      <x:c r="A123" s="1" t="s">
        <x:v>148</x:v>
      </x:c>
      <x:c r="D123" s="2">
        <x:f>+D13+D55+D97</x:f>
        <x:v>31647914</x:v>
      </x:c>
      <x:c r="E123" s="2">
        <x:f>+E13+E55+E97</x:f>
        <x:v>3164791</x:v>
      </x:c>
      <x:c r="F123" s="2">
        <x:f>+F13+F55+F97</x:f>
        <x:v>34812705</x:v>
      </x:c>
      <x:c r="K123" s="2">
        <x:f>+K13+K55+K97</x:f>
        <x:v>15920214</x:v>
      </x:c>
      <x:c r="L123" s="2">
        <x:f>+L13+L55+L97</x:f>
        <x:v>1592021.3999999999</x:v>
      </x:c>
      <x:c r="M123" s="2">
        <x:f>+M13+M55+M97</x:f>
        <x:v>17512235.399999999</x:v>
      </x:c>
    </x:row>
    <x:row r="124" spans="1:13">
      <x:c r="A124" s="1" t="s">
        <x:v>153</x:v>
      </x:c>
      <x:c r="D124" s="2">
        <x:f>+D18+D60+D102</x:f>
        <x:v>72680000</x:v>
      </x:c>
      <x:c r="E124" s="2">
        <x:f>+E18+E60+E102</x:f>
        <x:v>40000</x:v>
      </x:c>
      <x:c r="F124" s="2">
        <x:f>+F18+F60+F102</x:f>
        <x:v>72720000</x:v>
      </x:c>
      <x:c r="K124" s="2">
        <x:f>+K18+K60+K102</x:f>
        <x:v>27868500</x:v>
      </x:c>
      <x:c r="L124" s="2">
        <x:f>+L18+L60+L102</x:f>
        <x:v>200000</x:v>
      </x:c>
      <x:c r="M124" s="2">
        <x:f>+M18+M60+M102</x:f>
        <x:v>28068500</x:v>
      </x:c>
    </x:row>
    <x:row r="125" spans="1:13">
      <x:c r="A125" s="1" t="s">
        <x:v>187</x:v>
      </x:c>
      <x:c r="D125" s="2">
        <x:f>+D23+D65+D107</x:f>
        <x:v>1110000</x:v>
      </x:c>
      <x:c r="E125" s="2">
        <x:f>+E23+E65+E107</x:f>
        <x:v>111000</x:v>
      </x:c>
      <x:c r="F125" s="2">
        <x:f>+F23+F65+F107</x:f>
        <x:v>1221000</x:v>
      </x:c>
      <x:c r="K125" s="2">
        <x:f>+K23+K65+K107</x:f>
        <x:v>0</x:v>
      </x:c>
      <x:c r="L125" s="2">
        <x:f>+L23+L65+L107</x:f>
        <x:v>0</x:v>
      </x:c>
      <x:c r="M125" s="2">
        <x:f>+M23+M65+M107</x:f>
        <x:v>0</x:v>
      </x:c>
    </x:row>
    <x:row r="126" spans="1:13">
      <x:c r="A126" s="1" t="s">
        <x:v>149</x:v>
      </x:c>
      <x:c r="D126" s="2">
        <x:f>+D34+D76+D118</x:f>
        <x:v>6870765</x:v>
      </x:c>
      <x:c r="E126" s="2">
        <x:f>+E34+E76+E118</x:f>
        <x:v>329800</x:v>
      </x:c>
      <x:c r="F126" s="2">
        <x:f>+F34+F76+F118</x:f>
        <x:v>7200565</x:v>
      </x:c>
      <x:c r="K126" s="2">
        <x:f>+K34+K76+K118</x:f>
        <x:v>4483840</x:v>
      </x:c>
      <x:c r="L126" s="2">
        <x:f>+L34+L76+L118</x:f>
        <x:v>213860</x:v>
      </x:c>
      <x:c r="M126" s="2">
        <x:f>+M34+M76+M118</x:f>
        <x:v>4697700</x:v>
      </x:c>
    </x:row>
    <x:row r="127" spans="4:13">
      <x:c r="D127" s="2">
        <x:f>SUM(D123:D126)</x:f>
        <x:v>112308679</x:v>
      </x:c>
      <x:c r="E127" s="2">
        <x:f>SUM(E123:E126)</x:f>
        <x:v>3645591</x:v>
      </x:c>
      <x:c r="F127" s="2">
        <x:f>SUM(F123:F126)</x:f>
        <x:v>115954270</x:v>
      </x:c>
      <x:c r="K127" s="2">
        <x:f>SUM(K123:K126)</x:f>
        <x:v>48272554</x:v>
      </x:c>
      <x:c r="L127" s="2">
        <x:f>SUM(L123:L126)</x:f>
        <x:v>2005881.3999999999</x:v>
      </x:c>
      <x:c r="M127" s="2">
        <x:f>SUM(M123:M126)</x:f>
        <x:v>50278435.399999999</x:v>
      </x:c>
    </x:row>
  </x:sheetData>
  <x:mergeCells count="31">
    <x:mergeCell ref="A14:A17"/>
    <x:mergeCell ref="H14:H17"/>
    <x:mergeCell ref="A1:N1"/>
    <x:mergeCell ref="A2:G2"/>
    <x:mergeCell ref="H2:N2"/>
    <x:mergeCell ref="A5:A12"/>
    <x:mergeCell ref="H5:H12"/>
    <x:mergeCell ref="A19:A22"/>
    <x:mergeCell ref="H19:H22"/>
    <x:mergeCell ref="A24:A33"/>
    <x:mergeCell ref="H24:H33"/>
    <x:mergeCell ref="A37:G37"/>
    <x:mergeCell ref="H37:N37"/>
    <x:mergeCell ref="A40:A54"/>
    <x:mergeCell ref="H40:H54"/>
    <x:mergeCell ref="A56:A59"/>
    <x:mergeCell ref="H56:H59"/>
    <x:mergeCell ref="A61:A64"/>
    <x:mergeCell ref="H61:H64"/>
    <x:mergeCell ref="A66:A75"/>
    <x:mergeCell ref="H66:H75"/>
    <x:mergeCell ref="A79:G79"/>
    <x:mergeCell ref="H79:N79"/>
    <x:mergeCell ref="A82:A96"/>
    <x:mergeCell ref="H82:H96"/>
    <x:mergeCell ref="A98:A101"/>
    <x:mergeCell ref="H98:H101"/>
    <x:mergeCell ref="A103:A106"/>
    <x:mergeCell ref="H103:H106"/>
    <x:mergeCell ref="A108:A117"/>
    <x:mergeCell ref="H108:H11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36" min="0" max="1048575" man="1" pt="0"/>
  </x:rowBreaks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N129"/>
  <x:sheetViews>
    <x:sheetView view="pageBreakPreview" topLeftCell="A1" zoomScaleNormal="100" zoomScaleSheetLayoutView="100" workbookViewId="0">
      <x:selection activeCell="J74" activeCellId="0" sqref="J74:J7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2" t="s">
        <x:v>151</x:v>
      </x:c>
      <x:c r="B4" s="38" t="s">
        <x:v>1679</x:v>
      </x:c>
      <x:c r="C4" s="38" t="s">
        <x:v>1678</x:v>
      </x:c>
      <x:c r="D4" s="39">
        <x:v>133650000</x:v>
      </x:c>
      <x:c r="E4" s="39">
        <x:v>6350000</x:v>
      </x:c>
      <x:c r="F4" s="40">
        <x:f t="shared" ref="F4:F12" si="0">+D4+E4</x:f>
        <x:v>140000000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60000000</x:v>
      </x:c>
      <x:c r="L4" s="39"/>
      <x:c r="M4" s="40">
        <x:f>+K4+L4</x:f>
        <x:v>60000000</x:v>
      </x:c>
      <x:c r="N4" s="42"/>
    </x:row>
    <x:row r="5" spans="1:14" ht="20.100000000000001" customHeight="1">
      <x:c r="A5" s="298" t="s">
        <x:v>148</x:v>
      </x:c>
      <x:c r="B5" s="54" t="s">
        <x:v>902</x:v>
      </x:c>
      <x:c r="C5" s="54" t="s">
        <x:v>5</x:v>
      </x:c>
      <x:c r="D5" s="20">
        <x:v>345200</x:v>
      </x:c>
      <x:c r="E5" s="20">
        <x:f>+INT(D5*0.1)</x:f>
        <x:v>34520</x:v>
      </x:c>
      <x:c r="F5" s="21">
        <x:f t="shared" si="0"/>
        <x:v>379720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2265550</x:v>
      </x:c>
      <x:c r="L5" s="20">
        <x:f t="shared" ref="L5:L10" si="1">+K5*0.1</x:f>
        <x:v>226555</x:v>
      </x:c>
      <x:c r="M5" s="21">
        <x:f t="shared" ref="M5:M19" si="2">+K5+L5</x:f>
        <x:v>2492105</x:v>
      </x:c>
      <x:c r="N5" s="22"/>
    </x:row>
    <x:row r="6" spans="1:14" ht="20.100000000000001" customHeight="1">
      <x:c r="A6" s="299"/>
      <x:c r="B6" s="3" t="s">
        <x:v>867</x:v>
      </x:c>
      <x:c r="C6" s="3" t="s">
        <x:v>33</x:v>
      </x:c>
      <x:c r="D6" s="4">
        <x:v>2265070</x:v>
      </x:c>
      <x:c r="E6" s="4">
        <x:f t="shared" ref="E6:E12" si="3">+INT(D6*0.1)</x:f>
        <x:v>226507</x:v>
      </x:c>
      <x:c r="F6" s="5">
        <x:f t="shared" si="0"/>
        <x:v>2491577</x:v>
      </x:c>
      <x:c r="G6" s="6"/>
      <x:c r="H6" s="299"/>
      <x:c r="I6" s="3" t="s">
        <x:v>867</x:v>
      </x:c>
      <x:c r="J6" s="3" t="s">
        <x:v>925</x:v>
      </x:c>
      <x:c r="K6" s="4">
        <x:v>2700000</x:v>
      </x:c>
      <x:c r="L6" s="4">
        <x:f t="shared" si="1"/>
        <x:v>270000</x:v>
      </x:c>
      <x:c r="M6" s="5">
        <x:f t="shared" si="2"/>
        <x:v>2970000</x:v>
      </x:c>
      <x:c r="N6" s="6"/>
    </x:row>
    <x:row r="7" spans="1:14" ht="20.100000000000001" customHeight="1">
      <x:c r="A7" s="299"/>
      <x:c r="B7" s="3" t="s">
        <x:v>840</x:v>
      </x:c>
      <x:c r="C7" s="3" t="s">
        <x:v>955</x:v>
      </x:c>
      <x:c r="D7" s="4">
        <x:v>466000</x:v>
      </x:c>
      <x:c r="E7" s="4">
        <x:f t="shared" si="3"/>
        <x:v>46600</x:v>
      </x:c>
      <x:c r="F7" s="5">
        <x:f t="shared" si="0"/>
        <x:v>512600</x:v>
      </x:c>
      <x:c r="G7" s="6"/>
      <x:c r="H7" s="299"/>
      <x:c r="I7" s="3" t="s">
        <x:v>34</x:v>
      </x:c>
      <x:c r="J7" s="3" t="s">
        <x:v>974</x:v>
      </x:c>
      <x:c r="K7" s="4">
        <x:v>4511570</x:v>
      </x:c>
      <x:c r="L7" s="4">
        <x:f t="shared" si="1"/>
        <x:v>451157</x:v>
      </x:c>
      <x:c r="M7" s="5">
        <x:f t="shared" si="2"/>
        <x:v>4962727</x:v>
      </x:c>
      <x:c r="N7" s="6"/>
    </x:row>
    <x:row r="8" spans="1:14" ht="20.100000000000001" customHeight="1">
      <x:c r="A8" s="299"/>
      <x:c r="B8" s="3" t="s">
        <x:v>854</x:v>
      </x:c>
      <x:c r="C8" s="3" t="s">
        <x:v>343</x:v>
      </x:c>
      <x:c r="D8" s="4">
        <x:v>30136510</x:v>
      </x:c>
      <x:c r="E8" s="4">
        <x:f t="shared" si="3"/>
        <x:v>3013651</x:v>
      </x:c>
      <x:c r="F8" s="5">
        <x:f t="shared" si="0"/>
        <x:v>33150161</x:v>
      </x:c>
      <x:c r="G8" s="6"/>
      <x:c r="H8" s="299"/>
      <x:c r="I8" s="3" t="s">
        <x:v>840</x:v>
      </x:c>
      <x:c r="J8" s="3" t="s">
        <x:v>31</x:v>
      </x:c>
      <x:c r="K8" s="4">
        <x:v>9000</x:v>
      </x:c>
      <x:c r="L8" s="4">
        <x:f t="shared" si="1"/>
        <x:v>900</x:v>
      </x:c>
      <x:c r="M8" s="5">
        <x:f t="shared" si="2"/>
        <x:v>9900</x:v>
      </x:c>
      <x:c r="N8" s="6"/>
    </x:row>
    <x:row r="9" spans="1:14" ht="20.100000000000001" customHeight="1">
      <x:c r="A9" s="299"/>
      <x:c r="B9" s="3" t="s">
        <x:v>967</x:v>
      </x:c>
      <x:c r="C9" s="3" t="s">
        <x:v>969</x:v>
      </x:c>
      <x:c r="D9" s="4">
        <x:v>23650800</x:v>
      </x:c>
      <x:c r="E9" s="4">
        <x:f t="shared" si="3"/>
        <x:v>2365080</x:v>
      </x:c>
      <x:c r="F9" s="5">
        <x:f t="shared" si="0"/>
        <x:v>26015880</x:v>
      </x:c>
      <x:c r="G9" s="6"/>
      <x:c r="H9" s="299"/>
      <x:c r="I9" s="3" t="s">
        <x:v>991</x:v>
      </x:c>
      <x:c r="J9" s="3" t="s">
        <x:v>160</x:v>
      </x:c>
      <x:c r="K9" s="4">
        <x:v>150000</x:v>
      </x:c>
      <x:c r="L9" s="4">
        <x:f t="shared" si="1"/>
        <x:v>15000</x:v>
      </x:c>
      <x:c r="M9" s="5">
        <x:f t="shared" si="2"/>
        <x:v>165000</x:v>
      </x:c>
      <x:c r="N9" s="6"/>
    </x:row>
    <x:row r="10" spans="1:14" ht="20.100000000000001" customHeight="1">
      <x:c r="A10" s="299"/>
      <x:c r="B10" s="3" t="s">
        <x:v>1705</x:v>
      </x:c>
      <x:c r="C10" s="3" t="s">
        <x:v>3</x:v>
      </x:c>
      <x:c r="D10" s="4">
        <x:v>274000</x:v>
      </x:c>
      <x:c r="E10" s="4">
        <x:f t="shared" si="3"/>
        <x:v>27400</x:v>
      </x:c>
      <x:c r="F10" s="5">
        <x:f t="shared" si="0"/>
        <x:v>301400</x:v>
      </x:c>
      <x:c r="G10" s="6"/>
      <x:c r="H10" s="299"/>
      <x:c r="I10" s="3" t="s">
        <x:v>175</x:v>
      </x:c>
      <x:c r="J10" s="3" t="s">
        <x:v>993</x:v>
      </x:c>
      <x:c r="K10" s="4">
        <x:v>718400</x:v>
      </x:c>
      <x:c r="L10" s="4">
        <x:f t="shared" si="1"/>
        <x:v>71840</x:v>
      </x:c>
      <x:c r="M10" s="5">
        <x:f t="shared" si="2"/>
        <x:v>790240</x:v>
      </x:c>
      <x:c r="N10" s="6"/>
    </x:row>
    <x:row r="11" spans="1:14" ht="20.100000000000001" customHeight="1">
      <x:c r="A11" s="299"/>
      <x:c r="B11" s="3" t="s">
        <x:v>910</x:v>
      </x:c>
      <x:c r="C11" s="3" t="s">
        <x:v>1003</x:v>
      </x:c>
      <x:c r="D11" s="4">
        <x:v>430000</x:v>
      </x:c>
      <x:c r="E11" s="4">
        <x:f t="shared" si="3"/>
        <x:v>43000</x:v>
      </x:c>
      <x:c r="F11" s="5">
        <x:f t="shared" si="0"/>
        <x:v>473000</x:v>
      </x:c>
      <x:c r="G11" s="6"/>
      <x:c r="H11" s="299"/>
      <x:c r="I11" s="3" t="s">
        <x:v>965</x:v>
      </x:c>
      <x:c r="J11" s="3" t="s">
        <x:v>972</x:v>
      </x:c>
      <x:c r="K11" s="4">
        <x:v>685000</x:v>
      </x:c>
      <x:c r="L11" s="4">
        <x:f>+INT(K11*0.1)</x:f>
        <x:v>68500</x:v>
      </x:c>
      <x:c r="M11" s="5">
        <x:f t="shared" si="2"/>
        <x:v>753500</x:v>
      </x:c>
      <x:c r="N11" s="6"/>
    </x:row>
    <x:row r="12" spans="1:14" ht="20.100000000000001" customHeight="1">
      <x:c r="A12" s="299"/>
      <x:c r="B12" s="3" t="s">
        <x:v>846</x:v>
      </x:c>
      <x:c r="C12" s="3" t="s">
        <x:v>992</x:v>
      </x:c>
      <x:c r="D12" s="4">
        <x:v>575000</x:v>
      </x:c>
      <x:c r="E12" s="4">
        <x:f t="shared" si="3"/>
        <x:v>57500</x:v>
      </x:c>
      <x:c r="F12" s="5">
        <x:f t="shared" si="0"/>
        <x:v>632500</x:v>
      </x:c>
      <x:c r="G12" s="6"/>
      <x:c r="H12" s="299"/>
      <x:c r="I12" s="3" t="s">
        <x:v>846</x:v>
      </x:c>
      <x:c r="J12" s="3" t="s">
        <x:v>7</x:v>
      </x:c>
      <x:c r="K12" s="4">
        <x:v>1148900</x:v>
      </x:c>
      <x:c r="L12" s="4">
        <x:f t="shared" ref="L12:L19" si="4">+K12*0.1</x:f>
        <x:v>114890</x:v>
      </x:c>
      <x:c r="M12" s="5">
        <x:f t="shared" si="2"/>
        <x:v>1263790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5"/>
      <x:c r="G13" s="6"/>
      <x:c r="H13" s="299"/>
      <x:c r="I13" s="3" t="s">
        <x:v>938</x:v>
      </x:c>
      <x:c r="J13" s="3" t="s">
        <x:v>935</x:v>
      </x:c>
      <x:c r="K13" s="4">
        <x:v>998000</x:v>
      </x:c>
      <x:c r="L13" s="4">
        <x:f t="shared" si="4"/>
        <x:v>99800</x:v>
      </x:c>
      <x:c r="M13" s="5">
        <x:f t="shared" si="2"/>
        <x:v>1097800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5"/>
      <x:c r="G14" s="6"/>
      <x:c r="H14" s="300"/>
      <x:c r="I14" s="3" t="s">
        <x:v>0</x:v>
      </x:c>
      <x:c r="J14" s="3" t="s">
        <x:v>975</x:v>
      </x:c>
      <x:c r="K14" s="4">
        <x:v>15000</x:v>
      </x:c>
      <x:c r="L14" s="4"/>
      <x:c r="M14" s="5">
        <x:f t="shared" si="2"/>
        <x:v>15000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58142580</x:v>
      </x:c>
      <x:c r="E15" s="9">
        <x:f>SUM(E5:E14)</x:f>
        <x:v>5814258</x:v>
      </x:c>
      <x:c r="F15" s="10">
        <x:f>SUM(F5:F14)</x:f>
        <x:v>63956838</x:v>
      </x:c>
      <x:c r="G15" s="11"/>
      <x:c r="H15" s="7"/>
      <x:c r="I15" s="8"/>
      <x:c r="J15" s="8"/>
      <x:c r="K15" s="9">
        <x:f>SUM(K5:K14)</x:f>
        <x:v>13201420</x:v>
      </x:c>
      <x:c r="L15" s="9">
        <x:f>SUM(L5:L14)</x:f>
        <x:v>1318642</x:v>
      </x:c>
      <x:c r="M15" s="10">
        <x:f>SUM(M5:M14)</x:f>
        <x:v>14520062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28260000</x:v>
      </x:c>
      <x:c r="E16" s="44"/>
      <x:c r="F16" s="45">
        <x:f>+D16+E16</x:f>
        <x:v>28260000</x:v>
      </x:c>
      <x:c r="G16" s="37"/>
      <x:c r="H16" s="301" t="s">
        <x:v>153</x:v>
      </x:c>
      <x:c r="I16" s="3" t="s">
        <x:v>1677</x:v>
      </x:c>
      <x:c r="J16" s="3"/>
      <x:c r="K16" s="4">
        <x:v>25040000</x:v>
      </x:c>
      <x:c r="L16" s="4"/>
      <x:c r="M16" s="5">
        <x:f t="shared" si="2"/>
        <x:v>25040000</x:v>
      </x:c>
      <x:c r="N16" s="6"/>
    </x:row>
    <x:row r="17" spans="1:14" ht="20.100000000000001" customHeight="1">
      <x:c r="A17" s="299"/>
      <x:c r="B17" s="3" t="s">
        <x:v>979</x:v>
      </x:c>
      <x:c r="C17" s="3" t="s">
        <x:v>981</x:v>
      </x:c>
      <x:c r="D17" s="4">
        <x:v>4980000</x:v>
      </x:c>
      <x:c r="E17" s="4">
        <x:f>+INT(D17*0.1)</x:f>
        <x:v>498000</x:v>
      </x:c>
      <x:c r="F17" s="5">
        <x:f>+D17+E17</x:f>
        <x:v>5478000</x:v>
      </x:c>
      <x:c r="G17" s="37"/>
      <x:c r="H17" s="299"/>
      <x:c r="I17" s="3" t="s">
        <x:v>982</x:v>
      </x:c>
      <x:c r="J17" s="3" t="s">
        <x:v>1002</x:v>
      </x:c>
      <x:c r="K17" s="4">
        <x:v>13385000</x:v>
      </x:c>
      <x:c r="L17" s="4"/>
      <x:c r="M17" s="5">
        <x:f t="shared" si="2"/>
        <x:v>13385000</x:v>
      </x:c>
      <x:c r="N17" s="6"/>
    </x:row>
    <x:row r="18" spans="1:14" ht="20.100000000000001" customHeight="1">
      <x:c r="A18" s="299"/>
      <x:c r="B18" s="3" t="s">
        <x:v>980</x:v>
      </x:c>
      <x:c r="C18" s="3" t="s">
        <x:v>6</x:v>
      </x:c>
      <x:c r="D18" s="4">
        <x:v>14156400</x:v>
      </x:c>
      <x:c r="E18" s="4">
        <x:f>+INT(D18*0.1)</x:f>
        <x:v>1415640</x:v>
      </x:c>
      <x:c r="F18" s="5">
        <x:f>+D18+E18</x:f>
        <x:v>15572040</x:v>
      </x:c>
      <x:c r="G18" s="6"/>
      <x:c r="H18" s="299"/>
      <x:c r="I18" s="3"/>
      <x:c r="J18" s="3"/>
      <x:c r="K18" s="4"/>
      <x:c r="L18" s="4">
        <x:f t="shared" si="4"/>
        <x:v>0</x:v>
      </x:c>
      <x:c r="M18" s="5">
        <x:f t="shared" si="2"/>
        <x:v>0</x:v>
      </x:c>
      <x:c r="N18" s="6"/>
    </x:row>
    <x:row r="19" spans="1:14" ht="20.100000000000001" customHeight="1">
      <x:c r="A19" s="300"/>
      <x:c r="B19" s="3"/>
      <x:c r="C19" s="3"/>
      <x:c r="D19" s="4"/>
      <x:c r="E19" s="4">
        <x:f>+D19*0.1</x:f>
        <x:v>0</x:v>
      </x:c>
      <x:c r="F19" s="5">
        <x:f>+D19+E19</x:f>
        <x:v>0</x:v>
      </x:c>
      <x:c r="G19" s="6"/>
      <x:c r="H19" s="300"/>
      <x:c r="I19" s="3"/>
      <x:c r="J19" s="3"/>
      <x:c r="K19" s="4"/>
      <x:c r="L19" s="4">
        <x:f t="shared" si="4"/>
        <x:v>0</x:v>
      </x:c>
      <x:c r="M19" s="5">
        <x:f t="shared" si="2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SUM(D16:D19)</x:f>
        <x:v>47396400</x:v>
      </x:c>
      <x:c r="E20" s="9">
        <x:f>SUM(E16:E19)</x:f>
        <x:v>1913640</x:v>
      </x:c>
      <x:c r="F20" s="10">
        <x:f>SUM(F16:F19)</x:f>
        <x:v>49310040</x:v>
      </x:c>
      <x:c r="G20" s="11"/>
      <x:c r="H20" s="7"/>
      <x:c r="I20" s="8"/>
      <x:c r="J20" s="8"/>
      <x:c r="K20" s="9">
        <x:f>SUM(K16:K19)</x:f>
        <x:v>38425000</x:v>
      </x:c>
      <x:c r="L20" s="9">
        <x:f>SUM(L16:L19)</x:f>
        <x:v>0</x:v>
      </x:c>
      <x:c r="M20" s="10">
        <x:f>SUM(M16:M19)</x:f>
        <x:v>38425000</x:v>
      </x:c>
      <x:c r="N20" s="11"/>
    </x:row>
    <x:row r="21" spans="1:14" ht="20.100000000000001" customHeight="1">
      <x:c r="A21" s="301" t="s">
        <x:v>187</x:v>
      </x:c>
      <x:c r="B21" s="3" t="s">
        <x:v>1693</x:v>
      </x:c>
      <x:c r="C21" s="3" t="s">
        <x:v>948</x:v>
      </x:c>
      <x:c r="D21" s="4">
        <x:v>50000</x:v>
      </x:c>
      <x:c r="E21" s="4">
        <x:f>+D21*0.1</x:f>
        <x:v>5000</x:v>
      </x:c>
      <x:c r="F21" s="5">
        <x:f>+D21+E21</x:f>
        <x:v>55000</x:v>
      </x:c>
      <x:c r="G21" s="6"/>
      <x:c r="H21" s="301" t="s">
        <x:v>187</x:v>
      </x:c>
      <x:c r="I21" s="3"/>
      <x:c r="J21" s="3"/>
      <x:c r="K21" s="4"/>
      <x:c r="L21" s="4">
        <x:f>+K21*0.1</x:f>
        <x:v>0</x:v>
      </x:c>
      <x:c r="M21" s="5">
        <x:f>+K21+L21</x:f>
        <x:v>0</x:v>
      </x:c>
      <x:c r="N21" s="6"/>
    </x:row>
    <x:row r="22" spans="1:14" ht="20.100000000000001" customHeight="1">
      <x:c r="A22" s="299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6"/>
      <x:c r="H22" s="299"/>
      <x:c r="I22" s="3"/>
      <x:c r="J22" s="3"/>
      <x:c r="K22" s="4"/>
      <x:c r="L22" s="4">
        <x:f>+K22*0.1</x:f>
        <x:v>0</x:v>
      </x:c>
      <x:c r="M22" s="5">
        <x:f>+K22+L22</x:f>
        <x:v>0</x:v>
      </x:c>
      <x:c r="N22" s="6"/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>+K24*0.1</x:f>
        <x:v>0</x:v>
      </x:c>
      <x:c r="M24" s="5">
        <x:f>+K24+L24</x:f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50000</x:v>
      </x:c>
      <x:c r="E25" s="9">
        <x:f>SUM(E21:E24)</x:f>
        <x:v>5000</x:v>
      </x:c>
      <x:c r="F25" s="10">
        <x:f>SUM(F21:F24)</x:f>
        <x:v>55000</x:v>
      </x:c>
      <x:c r="G25" s="11"/>
      <x:c r="H25" s="7"/>
      <x:c r="I25" s="8"/>
      <x:c r="J25" s="8"/>
      <x:c r="K25" s="9">
        <x:f>SUM(K21:K24)</x:f>
        <x:v>0</x:v>
      </x:c>
      <x:c r="L25" s="9">
        <x:f>SUM(L21:L24)</x:f>
        <x:v>0</x:v>
      </x:c>
      <x:c r="M25" s="10">
        <x:f>SUM(M21:M24)</x:f>
        <x:v>0</x:v>
      </x:c>
      <x:c r="N25" s="11"/>
    </x:row>
    <x:row r="26" spans="1:14" ht="20.100000000000001" customHeight="1">
      <x:c r="A26" s="301" t="s">
        <x:v>149</x:v>
      </x:c>
      <x:c r="B26" s="3" t="s">
        <x:v>940</x:v>
      </x:c>
      <x:c r="C26" s="3" t="s">
        <x:v>164</x:v>
      </x:c>
      <x:c r="D26" s="4">
        <x:v>912000</x:v>
      </x:c>
      <x:c r="E26" s="4">
        <x:f>+D26*0.1</x:f>
        <x:v>91200</x:v>
      </x:c>
      <x:c r="F26" s="5">
        <x:f>+D26+E26</x:f>
        <x:v>1003200</x:v>
      </x:c>
      <x:c r="G26" s="6"/>
      <x:c r="H26" s="301" t="s">
        <x:v>149</x:v>
      </x:c>
      <x:c r="I26" s="3" t="s">
        <x:v>952</x:v>
      </x:c>
      <x:c r="J26" s="3" t="s">
        <x:v>28</x:v>
      </x:c>
      <x:c r="K26" s="4">
        <x:v>928818</x:v>
      </x:c>
      <x:c r="L26" s="4">
        <x:f>+K26*0.1</x:f>
        <x:v>92881.800000000003</x:v>
      </x:c>
      <x:c r="M26" s="5">
        <x:f t="shared" ref="M26:M35" si="5">+K26+L26</x:f>
        <x:v>1021699.8</x:v>
      </x:c>
      <x:c r="N26" s="6"/>
    </x:row>
    <x:row r="27" spans="1:14" ht="20.100000000000001" customHeight="1">
      <x:c r="A27" s="299"/>
      <x:c r="B27" s="3" t="s">
        <x:v>174</x:v>
      </x:c>
      <x:c r="C27" s="3" t="s">
        <x:v>941</x:v>
      </x:c>
      <x:c r="D27" s="4">
        <x:v>500000</x:v>
      </x:c>
      <x:c r="E27" s="4"/>
      <x:c r="F27" s="5">
        <x:f>+D27+E27</x:f>
        <x:v>500000</x:v>
      </x:c>
      <x:c r="G27" s="6"/>
      <x:c r="H27" s="299"/>
      <x:c r="I27" s="3" t="s">
        <x:v>959</x:v>
      </x:c>
      <x:c r="J27" s="3" t="s">
        <x:v>825</x:v>
      </x:c>
      <x:c r="K27" s="4">
        <x:v>1395000</x:v>
      </x:c>
      <x:c r="L27" s="4">
        <x:f>+K27*0.1</x:f>
        <x:v>139500</x:v>
      </x:c>
      <x:c r="M27" s="5">
        <x:f t="shared" si="5"/>
        <x:v>1534500</x:v>
      </x:c>
      <x:c r="N27" s="6"/>
    </x:row>
    <x:row r="28" spans="1:14" ht="20.100000000000001" customHeight="1">
      <x:c r="A28" s="299"/>
      <x:c r="B28" s="3" t="s">
        <x:v>947</x:v>
      </x:c>
      <x:c r="C28" s="3" t="s">
        <x:v>914</x:v>
      </x:c>
      <x:c r="D28" s="4">
        <x:v>130000</x:v>
      </x:c>
      <x:c r="E28" s="4">
        <x:f>+D28*0.1</x:f>
        <x:v>13000</x:v>
      </x:c>
      <x:c r="F28" s="5">
        <x:f>+D28+E28</x:f>
        <x:v>143000</x:v>
      </x:c>
      <x:c r="G28" s="6"/>
      <x:c r="H28" s="299"/>
      <x:c r="I28" s="3" t="s">
        <x:v>186</x:v>
      </x:c>
      <x:c r="J28" s="3" t="s">
        <x:v>941</x:v>
      </x:c>
      <x:c r="K28" s="4">
        <x:v>550000</x:v>
      </x:c>
      <x:c r="L28" s="4"/>
      <x:c r="M28" s="5">
        <x:f t="shared" si="5"/>
        <x:v>550000</x:v>
      </x:c>
      <x:c r="N28" s="6"/>
    </x:row>
    <x:row r="29" spans="1:14" ht="20.100000000000001" customHeight="1">
      <x:c r="A29" s="299"/>
      <x:c r="B29" s="3" t="s">
        <x:v>828</x:v>
      </x:c>
      <x:c r="C29" s="3" t="s">
        <x:v>167</x:v>
      </x:c>
      <x:c r="D29" s="4"/>
      <x:c r="E29" s="4">
        <x:f>+D29*0.1</x:f>
        <x:v>0</x:v>
      </x:c>
      <x:c r="F29" s="5">
        <x:f>+D29+E29</x:f>
        <x:v>0</x:v>
      </x:c>
      <x:c r="G29" s="6"/>
      <x:c r="H29" s="299"/>
      <x:c r="I29" s="3" t="s">
        <x:v>923</x:v>
      </x:c>
      <x:c r="J29" s="3" t="s">
        <x:v>896</x:v>
      </x:c>
      <x:c r="K29" s="4">
        <x:v>300000</x:v>
      </x:c>
      <x:c r="L29" s="4">
        <x:f>+K29*0.1</x:f>
        <x:v>30000</x:v>
      </x:c>
      <x:c r="M29" s="5">
        <x:f t="shared" si="5"/>
        <x:v>330000</x:v>
      </x:c>
      <x:c r="N29" s="6" t="s">
        <x:v>163</x:v>
      </x:c>
    </x:row>
    <x:row r="30" spans="1:14" ht="20.100000000000001" customHeight="1">
      <x:c r="A30" s="299"/>
      <x:c r="B30" s="3" t="s">
        <x:v>169</x:v>
      </x:c>
      <x:c r="C30" s="3" t="s">
        <x:v>837</x:v>
      </x:c>
      <x:c r="D30" s="4">
        <x:v>1883450</x:v>
      </x:c>
      <x:c r="E30" s="4">
        <x:v>22000</x:v>
      </x:c>
      <x:c r="F30" s="5">
        <x:f t="shared" ref="F30:F35" si="6">+D30+E30</x:f>
        <x:v>1905450</x:v>
      </x:c>
      <x:c r="G30" s="6"/>
      <x:c r="H30" s="299"/>
      <x:c r="I30" s="3" t="s">
        <x:v>1680</x:v>
      </x:c>
      <x:c r="J30" s="3" t="s">
        <x:v>1695</x:v>
      </x:c>
      <x:c r="K30" s="4">
        <x:v>130000</x:v>
      </x:c>
      <x:c r="L30" s="4">
        <x:f>+K30*0.1</x:f>
        <x:v>13000</x:v>
      </x:c>
      <x:c r="M30" s="5">
        <x:f t="shared" si="5"/>
        <x:v>143000</x:v>
      </x:c>
      <x:c r="N30" s="6"/>
    </x:row>
    <x:row r="31" spans="1:14" ht="20.100000000000001" customHeight="1">
      <x:c r="A31" s="299"/>
      <x:c r="B31" s="3"/>
      <x:c r="C31" s="3"/>
      <x:c r="D31" s="4"/>
      <x:c r="E31" s="4"/>
      <x:c r="F31" s="5">
        <x:f t="shared" si="6"/>
        <x:v>0</x:v>
      </x:c>
      <x:c r="G31" s="6"/>
      <x:c r="H31" s="299"/>
      <x:c r="I31" s="3" t="s">
        <x:v>185</x:v>
      </x:c>
      <x:c r="J31" s="3" t="s">
        <x:v>149</x:v>
      </x:c>
      <x:c r="K31" s="4">
        <x:v>1435690</x:v>
      </x:c>
      <x:c r="L31" s="4"/>
      <x:c r="M31" s="5">
        <x:f t="shared" si="5"/>
        <x:v>1435690</x:v>
      </x:c>
      <x:c r="N31" s="6"/>
    </x:row>
    <x:row r="32" spans="1:14" ht="20.100000000000001" customHeight="1">
      <x:c r="A32" s="299"/>
      <x:c r="B32" s="3"/>
      <x:c r="C32" s="3"/>
      <x:c r="D32" s="4"/>
      <x:c r="E32" s="4"/>
      <x:c r="F32" s="5">
        <x:f t="shared" si="6"/>
        <x:v>0</x:v>
      </x:c>
      <x:c r="G32" s="6"/>
      <x:c r="H32" s="299"/>
      <x:c r="I32" s="3" t="s">
        <x:v>1699</x:v>
      </x:c>
      <x:c r="J32" s="3" t="s">
        <x:v>167</x:v>
      </x:c>
      <x:c r="K32" s="4">
        <x:v>109000</x:v>
      </x:c>
      <x:c r="L32" s="4">
        <x:f>+K32*0.1</x:f>
        <x:v>10900</x:v>
      </x:c>
      <x:c r="M32" s="5">
        <x:f t="shared" si="5"/>
        <x:v>119900</x:v>
      </x:c>
      <x:c r="N32" s="6"/>
    </x:row>
    <x:row r="33" spans="1:14" ht="20.100000000000001" customHeight="1">
      <x:c r="A33" s="299"/>
      <x:c r="B33" s="3"/>
      <x:c r="C33" s="3"/>
      <x:c r="D33" s="4"/>
      <x:c r="E33" s="4"/>
      <x:c r="F33" s="5">
        <x:f t="shared" si="6"/>
        <x:v>0</x:v>
      </x:c>
      <x:c r="G33" s="6"/>
      <x:c r="H33" s="299"/>
      <x:c r="I33" s="3" t="s">
        <x:v>994</x:v>
      </x:c>
      <x:c r="J33" s="3" t="s">
        <x:v>8</x:v>
      </x:c>
      <x:c r="K33" s="4">
        <x:v>382091</x:v>
      </x:c>
      <x:c r="L33" s="4">
        <x:f>+K33*0.1</x:f>
        <x:v>38209.099999999999</x:v>
      </x:c>
      <x:c r="M33" s="5">
        <x:f t="shared" si="5"/>
        <x:v>420300.09999999998</x:v>
      </x:c>
      <x:c r="N33" s="6" t="s">
        <x:v>219</x:v>
      </x:c>
    </x:row>
    <x:row r="34" spans="1:14" ht="20.100000000000001" customHeight="1">
      <x:c r="A34" s="299"/>
      <x:c r="B34" s="3"/>
      <x:c r="C34" s="3"/>
      <x:c r="D34" s="4"/>
      <x:c r="E34" s="4"/>
      <x:c r="F34" s="5">
        <x:f t="shared" si="6"/>
        <x:v>0</x:v>
      </x:c>
      <x:c r="G34" s="6"/>
      <x:c r="H34" s="299"/>
      <x:c r="I34" s="3" t="s">
        <x:v>973</x:v>
      </x:c>
      <x:c r="J34" s="3" t="s">
        <x:v>978</x:v>
      </x:c>
      <x:c r="K34" s="4">
        <x:v>159090</x:v>
      </x:c>
      <x:c r="L34" s="4">
        <x:f>+K34*0.1+1</x:f>
        <x:v>15910</x:v>
      </x:c>
      <x:c r="M34" s="5">
        <x:f t="shared" si="5"/>
        <x:v>175000</x:v>
      </x:c>
      <x:c r="N34" s="6"/>
    </x:row>
    <x:row r="35" spans="1:14" ht="20.100000000000001" customHeight="1">
      <x:c r="A35" s="300"/>
      <x:c r="B35" s="3"/>
      <x:c r="C35" s="3"/>
      <x:c r="D35" s="4"/>
      <x:c r="E35" s="4"/>
      <x:c r="F35" s="5">
        <x:f t="shared" si="6"/>
        <x:v>0</x:v>
      </x:c>
      <x:c r="G35" s="6"/>
      <x:c r="H35" s="300"/>
      <x:c r="I35" s="3" t="s">
        <x:v>983</x:v>
      </x:c>
      <x:c r="J35" s="3" t="s">
        <x:v>984</x:v>
      </x:c>
      <x:c r="K35" s="4">
        <x:v>100000</x:v>
      </x:c>
      <x:c r="L35" s="4"/>
      <x:c r="M35" s="5">
        <x:f t="shared" si="5"/>
        <x:v>100000</x:v>
      </x:c>
      <x:c r="N35" s="6"/>
    </x:row>
    <x:row r="36" spans="1:14" ht="20.100000000000001" customHeight="1">
      <x:c r="A36" s="7" t="s">
        <x:v>155</x:v>
      </x:c>
      <x:c r="B36" s="8"/>
      <x:c r="C36" s="8"/>
      <x:c r="D36" s="9">
        <x:f>SUM(D26:D35)</x:f>
        <x:v>3425450</x:v>
      </x:c>
      <x:c r="E36" s="9">
        <x:f>SUM(E26:E35)</x:f>
        <x:v>126200</x:v>
      </x:c>
      <x:c r="F36" s="10">
        <x:f>SUM(F26:F35)</x:f>
        <x:v>3551650</x:v>
      </x:c>
      <x:c r="G36" s="11"/>
      <x:c r="H36" s="7"/>
      <x:c r="I36" s="8"/>
      <x:c r="J36" s="8"/>
      <x:c r="K36" s="9">
        <x:f>SUM(K26:K35)</x:f>
        <x:v>5489689</x:v>
      </x:c>
      <x:c r="L36" s="9">
        <x:f>SUM(L26:L35)</x:f>
        <x:v>340400.89999999997</x:v>
      </x:c>
      <x:c r="M36" s="10">
        <x:f>SUM(M26:M35)</x:f>
        <x:v>5830089.8999999994</x:v>
      </x:c>
      <x:c r="N36" s="11"/>
    </x:row>
    <x:row r="37" spans="1:14" ht="20.100000000000001" customHeight="1">
      <x:c r="A37" s="12" t="s">
        <x:v>1690</x:v>
      </x:c>
      <x:c r="B37" s="13"/>
      <x:c r="C37" s="13"/>
      <x:c r="D37" s="14">
        <x:f>+D15+D20+D25+D36</x:f>
        <x:v>109014430</x:v>
      </x:c>
      <x:c r="E37" s="14">
        <x:f>+E15+E20+E25+E36</x:f>
        <x:v>7859098</x:v>
      </x:c>
      <x:c r="F37" s="15">
        <x:f>+F15+F20+F25+F36</x:f>
        <x:v>116873528</x:v>
      </x:c>
      <x:c r="G37" s="16"/>
      <x:c r="H37" s="12"/>
      <x:c r="I37" s="13"/>
      <x:c r="J37" s="13"/>
      <x:c r="K37" s="14">
        <x:f>+K15+K20+K25+K36</x:f>
        <x:v>57116109</x:v>
      </x:c>
      <x:c r="L37" s="14">
        <x:f>+L15+L20+L25+L36</x:f>
        <x:v>1659042.8999999999</x:v>
      </x:c>
      <x:c r="M37" s="15">
        <x:f>+M15+M20+M25+M36</x:f>
        <x:v>58775151.899999999</x:v>
      </x:c>
      <x:c r="N37" s="16"/>
    </x:row>
    <x:row r="38" spans="1:14" ht="20.100000000000001" customHeight="1">
      <x:c r="A38" s="23" t="s">
        <x:v>35</x:v>
      </x:c>
      <x:c r="B38" s="24"/>
      <x:c r="C38" s="24"/>
      <x:c r="D38" s="25">
        <x:f>+D4-D37</x:f>
        <x:v>24635570</x:v>
      </x:c>
      <x:c r="E38" s="25">
        <x:f>+E4-E37</x:f>
        <x:v>-1509098</x:v>
      </x:c>
      <x:c r="F38" s="26">
        <x:f>+F4-F37</x:f>
        <x:v>23126472</x:v>
      </x:c>
      <x:c r="G38" s="27"/>
      <x:c r="H38" s="23"/>
      <x:c r="I38" s="24"/>
      <x:c r="J38" s="24"/>
      <x:c r="K38" s="25">
        <x:f>+K4-K37</x:f>
        <x:v>2883891</x:v>
      </x:c>
      <x:c r="L38" s="25">
        <x:f>+L4-L37</x:f>
        <x:v>-1659042.8999999999</x:v>
      </x:c>
      <x:c r="M38" s="26">
        <x:f>+M4-M37</x:f>
        <x:v>1224848.1000000015</x:v>
      </x:c>
      <x:c r="N38" s="27"/>
    </x:row>
    <x:row r="39" spans="1:14" ht="20.100000000000001" customHeight="1">
      <x:c r="A39" s="296" t="s">
        <x:v>871</x:v>
      </x:c>
      <x:c r="B39" s="297"/>
      <x:c r="C39" s="297"/>
      <x:c r="D39" s="297"/>
      <x:c r="E39" s="297"/>
      <x:c r="F39" s="297"/>
      <x:c r="G39" s="297"/>
      <x:c r="H39" s="302" t="s">
        <x:v>58</x:v>
      </x:c>
      <x:c r="I39" s="303"/>
      <x:c r="J39" s="303"/>
      <x:c r="K39" s="303"/>
      <x:c r="L39" s="303"/>
      <x:c r="M39" s="304"/>
      <x:c r="N39" s="305"/>
    </x:row>
    <x:row r="40" spans="1:14" ht="20.100000000000001" customHeight="1">
      <x:c r="A40" s="29" t="s">
        <x:v>147</x:v>
      </x:c>
      <x:c r="B40" s="30" t="s">
        <x:v>144</x:v>
      </x:c>
      <x:c r="C40" s="30" t="s">
        <x:v>150</x:v>
      </x:c>
      <x:c r="D40" s="31" t="s">
        <x:v>145</x:v>
      </x:c>
      <x:c r="E40" s="31" t="s">
        <x:v>152</x:v>
      </x:c>
      <x:c r="F40" s="32" t="s">
        <x:v>146</x:v>
      </x:c>
      <x:c r="G40" s="33" t="s">
        <x:v>154</x:v>
      </x:c>
      <x:c r="H40" s="29" t="s">
        <x:v>147</x:v>
      </x:c>
      <x:c r="I40" s="30" t="s">
        <x:v>144</x:v>
      </x:c>
      <x:c r="J40" s="30" t="s">
        <x:v>150</x:v>
      </x:c>
      <x:c r="K40" s="31" t="s">
        <x:v>145</x:v>
      </x:c>
      <x:c r="L40" s="31" t="s">
        <x:v>152</x:v>
      </x:c>
      <x:c r="M40" s="31" t="s">
        <x:v>146</x:v>
      </x:c>
      <x:c r="N40" s="34" t="s">
        <x:v>154</x:v>
      </x:c>
    </x:row>
    <x:row r="41" spans="1:14" ht="20.100000000000001" customHeight="1">
      <x:c r="A41" s="52" t="s">
        <x:v>151</x:v>
      </x:c>
      <x:c r="B41" s="38" t="s">
        <x:v>1679</x:v>
      </x:c>
      <x:c r="C41" s="38" t="s">
        <x:v>56</x:v>
      </x:c>
      <x:c r="D41" s="39">
        <x:v>10000000</x:v>
      </x:c>
      <x:c r="E41" s="39">
        <x:v>739420</x:v>
      </x:c>
      <x:c r="F41" s="40">
        <x:f t="shared" ref="F41:F48" si="7">+D41+E41</x:f>
        <x:v>10739420</x:v>
      </x:c>
      <x:c r="G41" s="18"/>
      <x:c r="H41" s="41" t="s">
        <x:v>151</x:v>
      </x:c>
      <x:c r="I41" s="38" t="s">
        <x:v>1679</x:v>
      </x:c>
      <x:c r="J41" s="38" t="s">
        <x:v>1678</x:v>
      </x:c>
      <x:c r="K41" s="39"/>
      <x:c r="L41" s="39"/>
      <x:c r="M41" s="40">
        <x:f>+K41+L41</x:f>
        <x:v>0</x:v>
      </x:c>
      <x:c r="N41" s="42"/>
    </x:row>
    <x:row r="42" spans="1:14" ht="20.100000000000001" customHeight="1">
      <x:c r="A42" s="298" t="s">
        <x:v>148</x:v>
      </x:c>
      <x:c r="B42" s="19" t="s">
        <x:v>838</x:v>
      </x:c>
      <x:c r="C42" s="19" t="s">
        <x:v>942</x:v>
      </x:c>
      <x:c r="D42" s="20">
        <x:v>1094000</x:v>
      </x:c>
      <x:c r="E42" s="20">
        <x:f>+INT(D42*0.1)</x:f>
        <x:v>109400</x:v>
      </x:c>
      <x:c r="F42" s="21">
        <x:f t="shared" si="7"/>
        <x:v>1203400</x:v>
      </x:c>
      <x:c r="G42" s="22"/>
      <x:c r="H42" s="298" t="s">
        <x:v>148</x:v>
      </x:c>
      <x:c r="I42" s="19" t="s">
        <x:v>838</x:v>
      </x:c>
      <x:c r="J42" s="19" t="s">
        <x:v>1</x:v>
      </x:c>
      <x:c r="K42" s="20">
        <x:v>103200</x:v>
      </x:c>
      <x:c r="L42" s="20">
        <x:f>+K42*0.1</x:f>
        <x:v>10320</x:v>
      </x:c>
      <x:c r="M42" s="21">
        <x:f t="shared" ref="M42:M56" si="8">+K42+L42</x:f>
        <x:v>113520</x:v>
      </x:c>
      <x:c r="N42" s="22"/>
    </x:row>
    <x:row r="43" spans="1:14" ht="20.100000000000001" customHeight="1">
      <x:c r="A43" s="299"/>
      <x:c r="B43" s="3" t="s">
        <x:v>21</x:v>
      </x:c>
      <x:c r="C43" s="3" t="s">
        <x:v>925</x:v>
      </x:c>
      <x:c r="D43" s="4"/>
      <x:c r="E43" s="4">
        <x:f t="shared" ref="E43:E55" si="9">+INT(D43*0.1)</x:f>
        <x:v>0</x:v>
      </x:c>
      <x:c r="F43" s="5">
        <x:f t="shared" si="7"/>
        <x:v>0</x:v>
      </x:c>
      <x:c r="G43" s="6"/>
      <x:c r="H43" s="299"/>
      <x:c r="I43" s="3" t="s">
        <x:v>21</x:v>
      </x:c>
      <x:c r="J43" s="3"/>
      <x:c r="K43" s="4"/>
      <x:c r="L43" s="4">
        <x:f>+K43*0.1</x:f>
        <x:v>0</x:v>
      </x:c>
      <x:c r="M43" s="5">
        <x:f t="shared" si="8"/>
        <x:v>0</x:v>
      </x:c>
      <x:c r="N43" s="6"/>
    </x:row>
    <x:row r="44" spans="1:14" ht="20.100000000000001" customHeight="1">
      <x:c r="A44" s="299"/>
      <x:c r="B44" s="3" t="s">
        <x:v>34</x:v>
      </x:c>
      <x:c r="C44" s="3"/>
      <x:c r="D44" s="4"/>
      <x:c r="E44" s="4">
        <x:f t="shared" si="9"/>
        <x:v>0</x:v>
      </x:c>
      <x:c r="F44" s="5">
        <x:f t="shared" si="7"/>
        <x:v>0</x:v>
      </x:c>
      <x:c r="G44" s="6"/>
      <x:c r="H44" s="299"/>
      <x:c r="I44" s="3" t="s">
        <x:v>34</x:v>
      </x:c>
      <x:c r="J44" s="3"/>
      <x:c r="K44" s="4"/>
      <x:c r="L44" s="4">
        <x:f t="shared" ref="L44:L56" si="10">+K44*0.1</x:f>
        <x:v>0</x:v>
      </x:c>
      <x:c r="M44" s="5">
        <x:f t="shared" si="8"/>
        <x:v>0</x:v>
      </x:c>
      <x:c r="N44" s="6"/>
    </x:row>
    <x:row r="45" spans="1:14" ht="20.100000000000001" customHeight="1">
      <x:c r="A45" s="299"/>
      <x:c r="B45" s="3" t="s">
        <x:v>840</x:v>
      </x:c>
      <x:c r="C45" s="3" t="s">
        <x:v>342</x:v>
      </x:c>
      <x:c r="D45" s="4">
        <x:v>84000</x:v>
      </x:c>
      <x:c r="E45" s="4">
        <x:f>+INT(D45*0.1)</x:f>
        <x:v>8400</x:v>
      </x:c>
      <x:c r="F45" s="5">
        <x:f t="shared" si="7"/>
        <x:v>92400</x:v>
      </x:c>
      <x:c r="G45" s="6"/>
      <x:c r="H45" s="299"/>
      <x:c r="I45" s="3" t="s">
        <x:v>840</x:v>
      </x:c>
      <x:c r="J45" s="3"/>
      <x:c r="K45" s="4"/>
      <x:c r="L45" s="4">
        <x:f t="shared" si="10"/>
        <x:v>0</x:v>
      </x:c>
      <x:c r="M45" s="5">
        <x:f t="shared" si="8"/>
        <x:v>0</x:v>
      </x:c>
      <x:c r="N45" s="6"/>
    </x:row>
    <x:row r="46" spans="1:14" ht="20.100000000000001" customHeight="1">
      <x:c r="A46" s="299"/>
      <x:c r="B46" s="3" t="s">
        <x:v>892</x:v>
      </x:c>
      <x:c r="C46" s="3"/>
      <x:c r="D46" s="4"/>
      <x:c r="E46" s="4">
        <x:f>+INT(D46*0.1)</x:f>
        <x:v>0</x:v>
      </x:c>
      <x:c r="F46" s="5">
        <x:f t="shared" si="7"/>
        <x:v>0</x:v>
      </x:c>
      <x:c r="G46" s="6"/>
      <x:c r="H46" s="299"/>
      <x:c r="I46" s="3" t="s">
        <x:v>846</x:v>
      </x:c>
      <x:c r="J46" s="3" t="s">
        <x:v>986</x:v>
      </x:c>
      <x:c r="K46" s="4">
        <x:v>50000</x:v>
      </x:c>
      <x:c r="L46" s="4">
        <x:f t="shared" si="10"/>
        <x:v>5000</x:v>
      </x:c>
      <x:c r="M46" s="5">
        <x:f t="shared" si="8"/>
        <x:v>55000</x:v>
      </x:c>
      <x:c r="N46" s="6"/>
    </x:row>
    <x:row r="47" spans="1:14" ht="20.100000000000001" customHeight="1">
      <x:c r="A47" s="299"/>
      <x:c r="B47" s="3" t="s">
        <x:v>846</x:v>
      </x:c>
      <x:c r="C47" s="3" t="s">
        <x:v>27</x:v>
      </x:c>
      <x:c r="D47" s="4">
        <x:v>1529000</x:v>
      </x:c>
      <x:c r="E47" s="4">
        <x:f>+INT(D47*0.1)</x:f>
        <x:v>152900</x:v>
      </x:c>
      <x:c r="F47" s="5">
        <x:f t="shared" si="7"/>
        <x:v>1681900</x:v>
      </x:c>
      <x:c r="G47" s="6"/>
      <x:c r="H47" s="299"/>
      <x:c r="I47" s="3"/>
      <x:c r="J47" s="3"/>
      <x:c r="K47" s="4"/>
      <x:c r="L47" s="4">
        <x:f t="shared" si="10"/>
        <x:v>0</x:v>
      </x:c>
      <x:c r="M47" s="5">
        <x:f t="shared" si="8"/>
        <x:v>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>+INT(D48*0.1)</x:f>
        <x:v>0</x:v>
      </x:c>
      <x:c r="F48" s="5">
        <x:f t="shared" si="7"/>
        <x:v>0</x:v>
      </x:c>
      <x:c r="G48" s="6"/>
      <x:c r="H48" s="299"/>
      <x:c r="I48" s="3"/>
      <x:c r="J48" s="3"/>
      <x:c r="K48" s="4"/>
      <x:c r="L48" s="4">
        <x:f t="shared" si="10"/>
        <x:v>0</x:v>
      </x:c>
      <x:c r="M48" s="5">
        <x:f t="shared" si="8"/>
        <x:v>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9"/>
        <x:v>0</x:v>
      </x:c>
      <x:c r="F49" s="5">
        <x:f t="shared" ref="F49:F55" si="11">+D49+E49</x:f>
        <x:v>0</x:v>
      </x:c>
      <x:c r="G49" s="6"/>
      <x:c r="H49" s="299"/>
      <x:c r="I49" s="3"/>
      <x:c r="J49" s="3"/>
      <x:c r="K49" s="4"/>
      <x:c r="L49" s="4">
        <x:f t="shared" si="10"/>
        <x:v>0</x:v>
      </x:c>
      <x:c r="M49" s="5">
        <x:f t="shared" si="8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9"/>
        <x:v>0</x:v>
      </x:c>
      <x:c r="F50" s="5">
        <x:f t="shared" si="11"/>
        <x:v>0</x:v>
      </x:c>
      <x:c r="G50" s="6"/>
      <x:c r="H50" s="299"/>
      <x:c r="I50" s="3"/>
      <x:c r="J50" s="3"/>
      <x:c r="K50" s="4"/>
      <x:c r="L50" s="4">
        <x:f t="shared" si="10"/>
        <x:v>0</x:v>
      </x:c>
      <x:c r="M50" s="5">
        <x:f t="shared" si="8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11"/>
        <x:v>0</x:v>
      </x:c>
      <x:c r="G51" s="6"/>
      <x:c r="H51" s="299"/>
      <x:c r="I51" s="3"/>
      <x:c r="J51" s="3"/>
      <x:c r="K51" s="4"/>
      <x:c r="L51" s="4">
        <x:f t="shared" si="10"/>
        <x:v>0</x:v>
      </x:c>
      <x:c r="M51" s="5">
        <x:f t="shared" si="8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9"/>
        <x:v>0</x:v>
      </x:c>
      <x:c r="F52" s="5">
        <x:f t="shared" si="11"/>
        <x:v>0</x:v>
      </x:c>
      <x:c r="G52" s="6"/>
      <x:c r="H52" s="299"/>
      <x:c r="I52" s="3"/>
      <x:c r="J52" s="3"/>
      <x:c r="K52" s="4"/>
      <x:c r="L52" s="4">
        <x:f t="shared" si="10"/>
        <x:v>0</x:v>
      </x:c>
      <x:c r="M52" s="5">
        <x:f t="shared" si="8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9"/>
        <x:v>0</x:v>
      </x:c>
      <x:c r="F53" s="5">
        <x:f t="shared" si="11"/>
        <x:v>0</x:v>
      </x:c>
      <x:c r="G53" s="6"/>
      <x:c r="H53" s="299"/>
      <x:c r="I53" s="3"/>
      <x:c r="J53" s="3"/>
      <x:c r="K53" s="4"/>
      <x:c r="L53" s="4">
        <x:f t="shared" si="10"/>
        <x:v>0</x:v>
      </x:c>
      <x:c r="M53" s="5">
        <x:f t="shared" si="8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9"/>
        <x:v>0</x:v>
      </x:c>
      <x:c r="F54" s="5">
        <x:f t="shared" si="11"/>
        <x:v>0</x:v>
      </x:c>
      <x:c r="G54" s="6"/>
      <x:c r="H54" s="299"/>
      <x:c r="I54" s="3"/>
      <x:c r="J54" s="3"/>
      <x:c r="K54" s="4"/>
      <x:c r="L54" s="4">
        <x:f t="shared" si="10"/>
        <x:v>0</x:v>
      </x:c>
      <x:c r="M54" s="5">
        <x:f t="shared" si="8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9"/>
        <x:v>0</x:v>
      </x:c>
      <x:c r="F55" s="5">
        <x:f t="shared" si="11"/>
        <x:v>0</x:v>
      </x:c>
      <x:c r="G55" s="6"/>
      <x:c r="H55" s="299"/>
      <x:c r="I55" s="3"/>
      <x:c r="J55" s="3"/>
      <x:c r="K55" s="4"/>
      <x:c r="L55" s="4">
        <x:f t="shared" si="10"/>
        <x:v>0</x:v>
      </x:c>
      <x:c r="M55" s="5">
        <x:f t="shared" si="8"/>
        <x:v>0</x:v>
      </x:c>
      <x:c r="N55" s="6"/>
    </x:row>
    <x:row r="56" spans="1:14" ht="20.100000000000001" customHeight="1">
      <x:c r="A56" s="300"/>
      <x:c r="B56" s="3"/>
      <x:c r="C56" s="3"/>
      <x:c r="D56" s="4"/>
      <x:c r="E56" s="4"/>
      <x:c r="F56" s="5"/>
      <x:c r="G56" s="6"/>
      <x:c r="H56" s="300"/>
      <x:c r="I56" s="3"/>
      <x:c r="J56" s="3"/>
      <x:c r="K56" s="4"/>
      <x:c r="L56" s="4">
        <x:f t="shared" si="10"/>
        <x:v>0</x:v>
      </x:c>
      <x:c r="M56" s="5">
        <x:f t="shared" si="8"/>
        <x:v>0</x:v>
      </x:c>
      <x:c r="N56" s="6"/>
    </x:row>
    <x:row r="57" spans="1:14" ht="20.100000000000001" customHeight="1">
      <x:c r="A57" s="7" t="s">
        <x:v>155</x:v>
      </x:c>
      <x:c r="B57" s="8"/>
      <x:c r="C57" s="8"/>
      <x:c r="D57" s="9">
        <x:f>SUM(D42:D56)</x:f>
        <x:v>2707000</x:v>
      </x:c>
      <x:c r="E57" s="9">
        <x:f>SUM(E42:E56)</x:f>
        <x:v>270700</x:v>
      </x:c>
      <x:c r="F57" s="10">
        <x:f>SUM(F42:F56)</x:f>
        <x:v>2977700</x:v>
      </x:c>
      <x:c r="G57" s="11"/>
      <x:c r="H57" s="7"/>
      <x:c r="I57" s="8"/>
      <x:c r="J57" s="8"/>
      <x:c r="K57" s="9">
        <x:f>SUM(K42:K56)</x:f>
        <x:v>153200</x:v>
      </x:c>
      <x:c r="L57" s="9">
        <x:f>SUM(L42:L56)</x:f>
        <x:v>15320</x:v>
      </x:c>
      <x:c r="M57" s="10">
        <x:f>SUM(M42:M56)</x:f>
        <x:v>168520</x:v>
      </x:c>
      <x:c r="N57" s="11"/>
    </x:row>
    <x:row r="58" spans="1:14" ht="20.100000000000001" customHeight="1">
      <x:c r="A58" s="301" t="s">
        <x:v>153</x:v>
      </x:c>
      <x:c r="B58" s="3" t="s">
        <x:v>1677</x:v>
      </x:c>
      <x:c r="C58" s="3"/>
      <x:c r="D58" s="44">
        <x:v>13030000</x:v>
      </x:c>
      <x:c r="E58" s="44"/>
      <x:c r="F58" s="45">
        <x:f>+D58+E58</x:f>
        <x:v>13030000</x:v>
      </x:c>
      <x:c r="G58" s="37"/>
      <x:c r="H58" s="301" t="s">
        <x:v>153</x:v>
      </x:c>
      <x:c r="I58" s="3" t="s">
        <x:v>1677</x:v>
      </x:c>
      <x:c r="J58" s="3"/>
      <x:c r="K58" s="4">
        <x:v>5310000</x:v>
      </x:c>
      <x:c r="L58" s="4"/>
      <x:c r="M58" s="5">
        <x:f>+K58+L58</x:f>
        <x:v>5310000</x:v>
      </x:c>
      <x:c r="N58" s="6"/>
    </x:row>
    <x:row r="59" spans="1:14" ht="20.100000000000001" customHeight="1">
      <x:c r="A59" s="299"/>
      <x:c r="B59" s="3"/>
      <x:c r="C59" s="3"/>
      <x:c r="D59" s="44"/>
      <x:c r="E59" s="44">
        <x:f>+D59*0.1</x:f>
        <x:v>0</x:v>
      </x:c>
      <x:c r="F59" s="45">
        <x:f>+D59+E59</x:f>
        <x:v>0</x:v>
      </x:c>
      <x:c r="G59" s="37"/>
      <x:c r="H59" s="299"/>
      <x:c r="I59" s="3"/>
      <x:c r="J59" s="3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>+D60*0.1</x:f>
        <x:v>0</x:v>
      </x:c>
      <x:c r="F60" s="5">
        <x:f>+D60+E60</x:f>
        <x:v>0</x:v>
      </x:c>
      <x:c r="G60" s="6"/>
      <x:c r="H60" s="299"/>
      <x:c r="I60" s="3"/>
      <x:c r="J60" s="3"/>
      <x:c r="K60" s="4"/>
      <x:c r="L60" s="4">
        <x:f>+K60*0.1</x:f>
        <x:v>0</x:v>
      </x:c>
      <x:c r="M60" s="5">
        <x:f>+K60+L60</x:f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6"/>
      <x:c r="H61" s="300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SUM(D58:D61)</x:f>
        <x:v>13030000</x:v>
      </x:c>
      <x:c r="E62" s="9">
        <x:f>SUM(E58:E61)</x:f>
        <x:v>0</x:v>
      </x:c>
      <x:c r="F62" s="10">
        <x:f>SUM(F58:F61)</x:f>
        <x:v>13030000</x:v>
      </x:c>
      <x:c r="G62" s="11"/>
      <x:c r="H62" s="7"/>
      <x:c r="I62" s="8"/>
      <x:c r="J62" s="8"/>
      <x:c r="K62" s="9">
        <x:f>SUM(K58:K61)</x:f>
        <x:v>5310000</x:v>
      </x:c>
      <x:c r="L62" s="9">
        <x:f>SUM(L58:L61)</x:f>
        <x:v>0</x:v>
      </x:c>
      <x:c r="M62" s="10">
        <x:f>SUM(M58:M61)</x:f>
        <x:v>5310000</x:v>
      </x:c>
      <x:c r="N62" s="11"/>
    </x:row>
    <x:row r="63" spans="1:14" ht="20.100000000000001" customHeight="1">
      <x:c r="A63" s="301" t="s">
        <x:v>187</x:v>
      </x:c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1" t="s">
        <x:v>187</x:v>
      </x:c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299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0</x:v>
      </x:c>
      <x:c r="E67" s="9">
        <x:f>SUM(E63:E66)</x:f>
        <x:v>0</x:v>
      </x:c>
      <x:c r="F67" s="10">
        <x:f>SUM(F63:F66)</x:f>
        <x:v>0</x:v>
      </x:c>
      <x:c r="G67" s="11"/>
      <x:c r="H67" s="7"/>
      <x:c r="I67" s="8"/>
      <x:c r="J67" s="8"/>
      <x:c r="K67" s="9">
        <x:f>SUM(K63:K66)</x:f>
        <x:v>0</x:v>
      </x:c>
      <x:c r="L67" s="9">
        <x:f>SUM(L63:L66)</x:f>
        <x:v>0</x:v>
      </x:c>
      <x:c r="M67" s="10">
        <x:f>SUM(M63:M66)</x:f>
        <x:v>0</x:v>
      </x:c>
      <x:c r="N67" s="11"/>
    </x:row>
    <x:row r="68" spans="1:14" ht="20.100000000000001" customHeight="1">
      <x:c r="A68" s="301" t="s">
        <x:v>149</x:v>
      </x:c>
      <x:c r="B68" s="3" t="s">
        <x:v>172</x:v>
      </x:c>
      <x:c r="C68" s="3" t="s">
        <x:v>66</x:v>
      </x:c>
      <x:c r="D68" s="4">
        <x:v>450000</x:v>
      </x:c>
      <x:c r="E68" s="4"/>
      <x:c r="F68" s="5">
        <x:f>+D68+E68</x:f>
        <x:v>450000</x:v>
      </x:c>
      <x:c r="G68" s="6"/>
      <x:c r="H68" s="301" t="s">
        <x:v>149</x:v>
      </x:c>
      <x:c r="I68" s="3" t="s">
        <x:v>177</x:v>
      </x:c>
      <x:c r="J68" s="3" t="s">
        <x:v>837</x:v>
      </x:c>
      <x:c r="K68" s="4">
        <x:v>410250</x:v>
      </x:c>
      <x:c r="L68" s="4"/>
      <x:c r="M68" s="5">
        <x:f t="shared" ref="M68:M75" si="12">+K68+L68</x:f>
        <x:v>410250</x:v>
      </x:c>
      <x:c r="N68" s="6"/>
    </x:row>
    <x:row r="69" spans="1:14" ht="20.100000000000001" customHeight="1">
      <x:c r="A69" s="299"/>
      <x:c r="B69" s="3" t="s">
        <x:v>177</x:v>
      </x:c>
      <x:c r="C69" s="3" t="s">
        <x:v>149</x:v>
      </x:c>
      <x:c r="D69" s="4">
        <x:v>658800</x:v>
      </x:c>
      <x:c r="E69" s="4"/>
      <x:c r="F69" s="5">
        <x:f>+D69+E69</x:f>
        <x:v>658800</x:v>
      </x:c>
      <x:c r="G69" s="6"/>
      <x:c r="H69" s="299"/>
      <x:c r="I69" s="3" t="s">
        <x:v>919</x:v>
      </x:c>
      <x:c r="J69" s="3" t="s">
        <x:v>914</x:v>
      </x:c>
      <x:c r="K69" s="4">
        <x:v>40000</x:v>
      </x:c>
      <x:c r="L69" s="4">
        <x:f>+K69*0.1</x:f>
        <x:v>4000</x:v>
      </x:c>
      <x:c r="M69" s="5">
        <x:f>+K69+L69</x:f>
        <x:v>44000</x:v>
      </x:c>
      <x:c r="N69" s="6"/>
    </x:row>
    <x:row r="70" spans="1:14" ht="20.100000000000001" customHeight="1">
      <x:c r="A70" s="299"/>
      <x:c r="B70" s="3" t="s">
        <x:v>158</x:v>
      </x:c>
      <x:c r="C70" s="3" t="s">
        <x:v>149</x:v>
      </x:c>
      <x:c r="D70" s="4">
        <x:v>250000</x:v>
      </x:c>
      <x:c r="E70" s="4"/>
      <x:c r="F70" s="5">
        <x:f>+D70+E70</x:f>
        <x:v>250000</x:v>
      </x:c>
      <x:c r="G70" s="6"/>
      <x:c r="H70" s="299"/>
      <x:c r="I70" s="3" t="s">
        <x:v>926</x:v>
      </x:c>
      <x:c r="J70" s="3" t="s">
        <x:v>927</x:v>
      </x:c>
      <x:c r="K70" s="4">
        <x:v>367870</x:v>
      </x:c>
      <x:c r="L70" s="4"/>
      <x:c r="M70" s="5">
        <x:f>+K70+L70</x:f>
        <x:v>367870</x:v>
      </x:c>
      <x:c r="N70" s="6"/>
    </x:row>
    <x:row r="71" spans="1:14" ht="20.100000000000001" customHeight="1">
      <x:c r="A71" s="299"/>
      <x:c r="B71" s="3" t="s">
        <x:v>924</x:v>
      </x:c>
      <x:c r="C71" s="3" t="s">
        <x:v>167</x:v>
      </x:c>
      <x:c r="D71" s="4">
        <x:v>12000</x:v>
      </x:c>
      <x:c r="E71" s="4">
        <x:f>+D71*0.1</x:f>
        <x:v>1200</x:v>
      </x:c>
      <x:c r="F71" s="5">
        <x:f t="shared" ref="F71:F77" si="13">+D71+E71</x:f>
        <x:v>13200</x:v>
      </x:c>
      <x:c r="G71" s="6"/>
      <x:c r="H71" s="299"/>
      <x:c r="I71" s="3" t="s">
        <x:v>945</x:v>
      </x:c>
      <x:c r="J71" s="3" t="s">
        <x:v>962</x:v>
      </x:c>
      <x:c r="K71" s="4">
        <x:v>156000</x:v>
      </x:c>
      <x:c r="L71" s="4">
        <x:f>+K71*0.1</x:f>
        <x:v>15600</x:v>
      </x:c>
      <x:c r="M71" s="5">
        <x:f>+K71+L71</x:f>
        <x:v>171600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+D72*0.1</x:f>
        <x:v>10000</x:v>
      </x:c>
      <x:c r="F72" s="5">
        <x:f t="shared" si="13"/>
        <x:v>110000</x:v>
      </x:c>
      <x:c r="G72" s="6"/>
      <x:c r="H72" s="299"/>
      <x:c r="I72" s="3"/>
      <x:c r="J72" s="3"/>
      <x:c r="K72" s="4"/>
      <x:c r="L72" s="4">
        <x:f>+K72*0.1</x:f>
        <x:v>0</x:v>
      </x:c>
      <x:c r="M72" s="5">
        <x:f>+K72+L72</x:f>
        <x:v>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115000</x:v>
      </x:c>
      <x:c r="E73" s="4">
        <x:f>+D73*0.1</x:f>
        <x:v>11500</x:v>
      </x:c>
      <x:c r="F73" s="5">
        <x:f>+D73+E73</x:f>
        <x:v>126500</x:v>
      </x:c>
      <x:c r="G73" s="6"/>
      <x:c r="H73" s="299"/>
      <x:c r="I73" s="3"/>
      <x:c r="J73" s="3"/>
      <x:c r="K73" s="4"/>
      <x:c r="L73" s="4">
        <x:f>+K73*0.1</x:f>
        <x:v>0</x:v>
      </x:c>
      <x:c r="M73" s="5">
        <x:f t="shared" si="12"/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>
        <x:f>+D74*0.1</x:f>
        <x:v>0</x:v>
      </x:c>
      <x:c r="F74" s="5">
        <x:f t="shared" si="13"/>
        <x:v>0</x:v>
      </x:c>
      <x:c r="G74" s="6"/>
      <x:c r="H74" s="299"/>
      <x:c r="I74" s="3"/>
      <x:c r="J74" s="3"/>
      <x:c r="K74" s="4"/>
      <x:c r="L74" s="4">
        <x:f>+K74*0.1</x:f>
        <x:v>0</x:v>
      </x:c>
      <x:c r="M74" s="5">
        <x:f t="shared" si="12"/>
        <x:v>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3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2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3"/>
        <x:v>0</x:v>
      </x:c>
      <x:c r="G76" s="6"/>
      <x:c r="H76" s="299"/>
      <x:c r="I76" s="3"/>
      <x:c r="J76" s="3"/>
      <x:c r="K76" s="4"/>
      <x:c r="L76" s="4"/>
      <x:c r="M76" s="5"/>
      <x:c r="N76" s="6"/>
    </x:row>
    <x:row r="77" spans="1:14" ht="20.100000000000001" customHeight="1">
      <x:c r="A77" s="300"/>
      <x:c r="B77" s="3"/>
      <x:c r="C77" s="3"/>
      <x:c r="D77" s="4"/>
      <x:c r="E77" s="4"/>
      <x:c r="F77" s="5">
        <x:f t="shared" si="13"/>
        <x:v>0</x:v>
      </x:c>
      <x:c r="G77" s="6"/>
      <x:c r="H77" s="300"/>
      <x:c r="I77" s="3"/>
      <x:c r="J77" s="3"/>
      <x:c r="K77" s="4"/>
      <x:c r="L77" s="4">
        <x:f>+K77*0.1</x:f>
        <x:v>0</x:v>
      </x:c>
      <x:c r="M77" s="5">
        <x:f>+K77+L77</x:f>
        <x:v>0</x:v>
      </x:c>
      <x:c r="N77" s="6"/>
    </x:row>
    <x:row r="78" spans="1:14" ht="20.100000000000001" customHeight="1">
      <x:c r="A78" s="7" t="s">
        <x:v>155</x:v>
      </x:c>
      <x:c r="B78" s="8"/>
      <x:c r="C78" s="8"/>
      <x:c r="D78" s="9">
        <x:f>SUM(D68:D77)</x:f>
        <x:v>1585800</x:v>
      </x:c>
      <x:c r="E78" s="9">
        <x:f>SUM(E68:E77)</x:f>
        <x:v>22700</x:v>
      </x:c>
      <x:c r="F78" s="10">
        <x:f>SUM(F68:F77)</x:f>
        <x:v>1608500</x:v>
      </x:c>
      <x:c r="G78" s="11"/>
      <x:c r="H78" s="7"/>
      <x:c r="I78" s="8"/>
      <x:c r="J78" s="8"/>
      <x:c r="K78" s="9">
        <x:f>SUM(K68:K77)</x:f>
        <x:v>974120</x:v>
      </x:c>
      <x:c r="L78" s="9">
        <x:f>SUM(L68:L77)</x:f>
        <x:v>19600</x:v>
      </x:c>
      <x:c r="M78" s="10">
        <x:f>SUM(M68:M77)</x:f>
        <x:v>993720</x:v>
      </x:c>
      <x:c r="N78" s="11"/>
    </x:row>
    <x:row r="79" spans="1:14" ht="20.100000000000001" customHeight="1">
      <x:c r="A79" s="12" t="s">
        <x:v>1690</x:v>
      </x:c>
      <x:c r="B79" s="13"/>
      <x:c r="C79" s="13"/>
      <x:c r="D79" s="14">
        <x:f>+D57+D62+D67+D78</x:f>
        <x:v>17322800</x:v>
      </x:c>
      <x:c r="E79" s="14">
        <x:f>+E57+E62+E67+E78</x:f>
        <x:v>293400</x:v>
      </x:c>
      <x:c r="F79" s="15">
        <x:f>+F57+F62+F67+F78</x:f>
        <x:v>17616200</x:v>
      </x:c>
      <x:c r="G79" s="16"/>
      <x:c r="H79" s="12"/>
      <x:c r="I79" s="13"/>
      <x:c r="J79" s="13"/>
      <x:c r="K79" s="14">
        <x:f>+K57+K62+K67+K78</x:f>
        <x:v>6437320</x:v>
      </x:c>
      <x:c r="L79" s="14">
        <x:f>+L57+L62+L67+L78</x:f>
        <x:v>34920</x:v>
      </x:c>
      <x:c r="M79" s="15">
        <x:f>+M57+M62+M67+M78</x:f>
        <x:v>6472240</x:v>
      </x:c>
      <x:c r="N79" s="16"/>
    </x:row>
    <x:row r="80" spans="1:14" ht="20.100000000000001" customHeight="1">
      <x:c r="A80" s="23" t="s">
        <x:v>35</x:v>
      </x:c>
      <x:c r="B80" s="24"/>
      <x:c r="C80" s="24"/>
      <x:c r="D80" s="25">
        <x:f>+D41-D79</x:f>
        <x:v>-7322800</x:v>
      </x:c>
      <x:c r="E80" s="25">
        <x:f>+E41-E79</x:f>
        <x:v>446020</x:v>
      </x:c>
      <x:c r="F80" s="26">
        <x:f>+F41-F79</x:f>
        <x:v>-6876780</x:v>
      </x:c>
      <x:c r="G80" s="27"/>
      <x:c r="H80" s="23"/>
      <x:c r="I80" s="24"/>
      <x:c r="J80" s="24"/>
      <x:c r="K80" s="25">
        <x:f>+K41-K79</x:f>
        <x:v>-6437320</x:v>
      </x:c>
      <x:c r="L80" s="25">
        <x:f>+L41-L79</x:f>
        <x:v>-34920</x:v>
      </x:c>
      <x:c r="M80" s="26">
        <x:f>+M41-M79</x:f>
        <x:v>-6472240</x:v>
      </x:c>
      <x:c r="N80" s="27"/>
    </x:row>
    <x:row r="81" spans="1:14" ht="20.100000000000001" customHeight="1">
      <x:c r="A81" s="302" t="s">
        <x:v>316</x:v>
      </x:c>
      <x:c r="B81" s="303"/>
      <x:c r="C81" s="303"/>
      <x:c r="D81" s="303"/>
      <x:c r="E81" s="303"/>
      <x:c r="F81" s="304"/>
      <x:c r="G81" s="305"/>
      <x:c r="H81" s="302" t="s">
        <x:v>333</x:v>
      </x:c>
      <x:c r="I81" s="303"/>
      <x:c r="J81" s="303"/>
      <x:c r="K81" s="303"/>
      <x:c r="L81" s="303"/>
      <x:c r="M81" s="304"/>
      <x:c r="N81" s="305"/>
    </x:row>
    <x:row r="82" spans="1:14" ht="20.100000000000001" customHeight="1">
      <x:c r="A82" s="29" t="s">
        <x:v>147</x:v>
      </x:c>
      <x:c r="B82" s="30" t="s">
        <x:v>144</x:v>
      </x:c>
      <x:c r="C82" s="30" t="s">
        <x:v>150</x:v>
      </x:c>
      <x:c r="D82" s="31" t="s">
        <x:v>145</x:v>
      </x:c>
      <x:c r="E82" s="31" t="s">
        <x:v>152</x:v>
      </x:c>
      <x:c r="F82" s="32" t="s">
        <x:v>146</x:v>
      </x:c>
      <x:c r="G82" s="33" t="s">
        <x:v>154</x:v>
      </x:c>
      <x:c r="H82" s="29" t="s">
        <x:v>147</x:v>
      </x:c>
      <x:c r="I82" s="30" t="s">
        <x:v>144</x:v>
      </x:c>
      <x:c r="J82" s="30" t="s">
        <x:v>150</x:v>
      </x:c>
      <x:c r="K82" s="31" t="s">
        <x:v>145</x:v>
      </x:c>
      <x:c r="L82" s="31" t="s">
        <x:v>152</x:v>
      </x:c>
      <x:c r="M82" s="31" t="s">
        <x:v>146</x:v>
      </x:c>
      <x:c r="N82" s="34" t="s">
        <x:v>154</x:v>
      </x:c>
    </x:row>
    <x:row r="83" spans="1:14" ht="20.100000000000001" customHeight="1">
      <x:c r="A83" s="52" t="s">
        <x:v>151</x:v>
      </x:c>
      <x:c r="B83" s="38" t="s">
        <x:v>1679</x:v>
      </x:c>
      <x:c r="C83" s="38" t="s">
        <x:v>906</x:v>
      </x:c>
      <x:c r="D83" s="39"/>
      <x:c r="E83" s="39">
        <x:f>+D83*0.1</x:f>
        <x:v>0</x:v>
      </x:c>
      <x:c r="F83" s="40">
        <x:f>+D83+E83</x:f>
        <x:v>0</x:v>
      </x:c>
      <x:c r="G83" s="18"/>
      <x:c r="H83" s="41" t="s">
        <x:v>151</x:v>
      </x:c>
      <x:c r="I83" s="38" t="s">
        <x:v>1679</x:v>
      </x:c>
      <x:c r="J83" s="38" t="s">
        <x:v>906</x:v>
      </x:c>
      <x:c r="K83" s="39"/>
      <x:c r="L83" s="39"/>
      <x:c r="M83" s="40">
        <x:f>+K83+L83</x:f>
        <x:v>0</x:v>
      </x:c>
      <x:c r="N83" s="42"/>
    </x:row>
    <x:row r="84" spans="1:14" ht="20.100000000000001" customHeight="1">
      <x:c r="A84" s="298" t="s">
        <x:v>148</x:v>
      </x:c>
      <x:c r="B84" s="19" t="s">
        <x:v>907</x:v>
      </x:c>
      <x:c r="C84" s="19" t="s">
        <x:v>894</x:v>
      </x:c>
      <x:c r="D84" s="20">
        <x:v>360000</x:v>
      </x:c>
      <x:c r="E84" s="20">
        <x:f>+INT(D84*0.1)</x:f>
        <x:v>36000</x:v>
      </x:c>
      <x:c r="F84" s="21">
        <x:f>+D84+E84</x:f>
        <x:v>396000</x:v>
      </x:c>
      <x:c r="G84" s="22"/>
      <x:c r="H84" s="298" t="s">
        <x:v>148</x:v>
      </x:c>
      <x:c r="I84" s="19" t="s">
        <x:v>21</x:v>
      </x:c>
      <x:c r="J84" s="19" t="s">
        <x:v>988</x:v>
      </x:c>
      <x:c r="K84" s="20">
        <x:v>813300</x:v>
      </x:c>
      <x:c r="L84" s="20">
        <x:f>+K84*0.1</x:f>
        <x:v>81330</x:v>
      </x:c>
      <x:c r="M84" s="21">
        <x:f t="shared" ref="M84:M98" si="14">+K84+L84</x:f>
        <x:v>894630</x:v>
      </x:c>
      <x:c r="N84" s="22"/>
    </x:row>
    <x:row r="85" spans="1:14" ht="20.100000000000001" customHeight="1">
      <x:c r="A85" s="299"/>
      <x:c r="B85" s="3" t="s">
        <x:v>867</x:v>
      </x:c>
      <x:c r="C85" s="3" t="s">
        <x:v>989</x:v>
      </x:c>
      <x:c r="D85" s="4">
        <x:v>104400</x:v>
      </x:c>
      <x:c r="E85" s="4">
        <x:f t="shared" ref="E85:E97" si="15">+INT(D85*0.1)</x:f>
        <x:v>10440</x:v>
      </x:c>
      <x:c r="F85" s="5">
        <x:f>+D85+E85</x:f>
        <x:v>114840</x:v>
      </x:c>
      <x:c r="G85" s="6"/>
      <x:c r="H85" s="299"/>
      <x:c r="I85" s="3" t="s">
        <x:v>840</x:v>
      </x:c>
      <x:c r="J85" s="3" t="s">
        <x:v>985</x:v>
      </x:c>
      <x:c r="K85" s="4">
        <x:v>673000</x:v>
      </x:c>
      <x:c r="L85" s="4">
        <x:f>+K85*0.1</x:f>
        <x:v>67300</x:v>
      </x:c>
      <x:c r="M85" s="5">
        <x:f t="shared" si="14"/>
        <x:v>740300</x:v>
      </x:c>
      <x:c r="N85" s="6"/>
    </x:row>
    <x:row r="86" spans="1:14" ht="20.100000000000001" customHeight="1">
      <x:c r="A86" s="299"/>
      <x:c r="B86" s="3"/>
      <x:c r="C86" s="3"/>
      <x:c r="D86" s="4"/>
      <x:c r="E86" s="4">
        <x:f t="shared" si="15"/>
        <x:v>0</x:v>
      </x:c>
      <x:c r="F86" s="5">
        <x:f>+D86+E86</x:f>
        <x:v>0</x:v>
      </x:c>
      <x:c r="G86" s="6"/>
      <x:c r="H86" s="299"/>
      <x:c r="I86" s="3" t="s">
        <x:v>846</x:v>
      </x:c>
      <x:c r="J86" s="3" t="s">
        <x:v>995</x:v>
      </x:c>
      <x:c r="K86" s="4">
        <x:v>177500</x:v>
      </x:c>
      <x:c r="L86" s="4">
        <x:f t="shared" ref="L86:L98" si="16">+K86*0.1</x:f>
        <x:v>17750</x:v>
      </x:c>
      <x:c r="M86" s="5">
        <x:f t="shared" si="14"/>
        <x:v>195250</x:v>
      </x:c>
      <x:c r="N86" s="6"/>
    </x:row>
    <x:row r="87" spans="1:14" ht="20.100000000000001" customHeight="1">
      <x:c r="A87" s="299"/>
      <x:c r="B87" s="3"/>
      <x:c r="C87" s="3"/>
      <x:c r="D87" s="4"/>
      <x:c r="E87" s="4">
        <x:f t="shared" si="15"/>
        <x:v>0</x:v>
      </x:c>
      <x:c r="F87" s="5">
        <x:f t="shared" ref="F87:F97" si="17">+D87+E87</x:f>
        <x:v>0</x:v>
      </x:c>
      <x:c r="G87" s="6"/>
      <x:c r="H87" s="299"/>
      <x:c r="I87" s="3"/>
      <x:c r="J87" s="3"/>
      <x:c r="K87" s="4"/>
      <x:c r="L87" s="4">
        <x:f t="shared" si="16"/>
        <x:v>0</x:v>
      </x:c>
      <x:c r="M87" s="5">
        <x:f t="shared" si="14"/>
        <x:v>0</x:v>
      </x:c>
      <x:c r="N87" s="6"/>
    </x:row>
    <x:row r="88" spans="1:14" ht="20.100000000000001" customHeight="1">
      <x:c r="A88" s="299"/>
      <x:c r="B88" s="3"/>
      <x:c r="C88" s="3"/>
      <x:c r="D88" s="4"/>
      <x:c r="E88" s="4">
        <x:f t="shared" si="15"/>
        <x:v>0</x:v>
      </x:c>
      <x:c r="F88" s="5">
        <x:f t="shared" si="17"/>
        <x:v>0</x:v>
      </x:c>
      <x:c r="G88" s="6"/>
      <x:c r="H88" s="299"/>
      <x:c r="I88" s="3"/>
      <x:c r="J88" s="3"/>
      <x:c r="K88" s="4"/>
      <x:c r="L88" s="4">
        <x:f t="shared" si="16"/>
        <x:v>0</x:v>
      </x:c>
      <x:c r="M88" s="5">
        <x:f t="shared" si="14"/>
        <x:v>0</x:v>
      </x:c>
      <x:c r="N88" s="6"/>
    </x:row>
    <x:row r="89" spans="1:14" ht="20.100000000000001" customHeight="1">
      <x:c r="A89" s="299"/>
      <x:c r="B89" s="3"/>
      <x:c r="C89" s="3"/>
      <x:c r="D89" s="4"/>
      <x:c r="E89" s="4">
        <x:f t="shared" si="15"/>
        <x:v>0</x:v>
      </x:c>
      <x:c r="F89" s="5">
        <x:f t="shared" si="17"/>
        <x:v>0</x:v>
      </x:c>
      <x:c r="G89" s="6"/>
      <x:c r="H89" s="299"/>
      <x:c r="I89" s="3"/>
      <x:c r="J89" s="3"/>
      <x:c r="K89" s="4"/>
      <x:c r="L89" s="4">
        <x:f t="shared" si="16"/>
        <x:v>0</x:v>
      </x:c>
      <x:c r="M89" s="5">
        <x:f t="shared" si="14"/>
        <x:v>0</x:v>
      </x:c>
      <x:c r="N89" s="6"/>
    </x:row>
    <x:row r="90" spans="1:14" ht="20.100000000000001" customHeight="1">
      <x:c r="A90" s="299"/>
      <x:c r="B90" s="3"/>
      <x:c r="C90" s="3"/>
      <x:c r="D90" s="4"/>
      <x:c r="E90" s="4">
        <x:f t="shared" si="15"/>
        <x:v>0</x:v>
      </x:c>
      <x:c r="F90" s="5">
        <x:f t="shared" si="17"/>
        <x:v>0</x:v>
      </x:c>
      <x:c r="G90" s="6"/>
      <x:c r="H90" s="299"/>
      <x:c r="I90" s="3"/>
      <x:c r="J90" s="3"/>
      <x:c r="K90" s="4"/>
      <x:c r="L90" s="4">
        <x:f t="shared" si="16"/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5"/>
        <x:v>0</x:v>
      </x:c>
      <x:c r="F91" s="5">
        <x:f t="shared" si="17"/>
        <x:v>0</x:v>
      </x:c>
      <x:c r="G91" s="6"/>
      <x:c r="H91" s="299"/>
      <x:c r="I91" s="3"/>
      <x:c r="J91" s="3"/>
      <x:c r="K91" s="4"/>
      <x:c r="L91" s="4">
        <x:f t="shared" si="16"/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5"/>
        <x:v>0</x:v>
      </x:c>
      <x:c r="F92" s="5">
        <x:f t="shared" si="17"/>
        <x:v>0</x:v>
      </x:c>
      <x:c r="G92" s="6"/>
      <x:c r="H92" s="299"/>
      <x:c r="I92" s="3"/>
      <x:c r="J92" s="3"/>
      <x:c r="K92" s="4"/>
      <x:c r="L92" s="4">
        <x:f t="shared" si="16"/>
        <x:v>0</x:v>
      </x:c>
      <x:c r="M92" s="5">
        <x:f t="shared" si="14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5"/>
        <x:v>0</x:v>
      </x:c>
      <x:c r="F93" s="5">
        <x:f t="shared" si="17"/>
        <x:v>0</x:v>
      </x:c>
      <x:c r="G93" s="6"/>
      <x:c r="H93" s="299"/>
      <x:c r="I93" s="3"/>
      <x:c r="J93" s="3"/>
      <x:c r="K93" s="4"/>
      <x:c r="L93" s="4">
        <x:f t="shared" si="16"/>
        <x:v>0</x:v>
      </x:c>
      <x:c r="M93" s="5">
        <x:f t="shared" si="14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5"/>
        <x:v>0</x:v>
      </x:c>
      <x:c r="F94" s="5">
        <x:f t="shared" si="17"/>
        <x:v>0</x:v>
      </x:c>
      <x:c r="G94" s="6"/>
      <x:c r="H94" s="299"/>
      <x:c r="I94" s="3"/>
      <x:c r="J94" s="3"/>
      <x:c r="K94" s="4"/>
      <x:c r="L94" s="4">
        <x:f t="shared" si="16"/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5"/>
        <x:v>0</x:v>
      </x:c>
      <x:c r="F95" s="5">
        <x:f t="shared" si="17"/>
        <x:v>0</x:v>
      </x:c>
      <x:c r="G95" s="6"/>
      <x:c r="H95" s="299"/>
      <x:c r="I95" s="3"/>
      <x:c r="J95" s="3"/>
      <x:c r="K95" s="4"/>
      <x:c r="L95" s="4">
        <x:f t="shared" si="16"/>
        <x:v>0</x:v>
      </x:c>
      <x:c r="M95" s="5">
        <x:f t="shared" si="14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5"/>
        <x:v>0</x:v>
      </x:c>
      <x:c r="F96" s="5">
        <x:f t="shared" si="17"/>
        <x:v>0</x:v>
      </x:c>
      <x:c r="G96" s="6"/>
      <x:c r="H96" s="299"/>
      <x:c r="I96" s="3"/>
      <x:c r="J96" s="3"/>
      <x:c r="K96" s="4"/>
      <x:c r="L96" s="4">
        <x:f t="shared" si="16"/>
        <x:v>0</x:v>
      </x:c>
      <x:c r="M96" s="5">
        <x:f t="shared" si="14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5"/>
        <x:v>0</x:v>
      </x:c>
      <x:c r="F97" s="5">
        <x:f t="shared" si="17"/>
        <x:v>0</x:v>
      </x:c>
      <x:c r="G97" s="6"/>
      <x:c r="H97" s="299"/>
      <x:c r="I97" s="3"/>
      <x:c r="J97" s="3"/>
      <x:c r="K97" s="4"/>
      <x:c r="L97" s="4">
        <x:f t="shared" si="16"/>
        <x:v>0</x:v>
      </x:c>
      <x:c r="M97" s="5">
        <x:f t="shared" si="14"/>
        <x:v>0</x:v>
      </x:c>
      <x:c r="N97" s="6"/>
    </x:row>
    <x:row r="98" spans="1:14" ht="20.100000000000001" customHeight="1">
      <x:c r="A98" s="300"/>
      <x:c r="B98" s="3"/>
      <x:c r="C98" s="3"/>
      <x:c r="D98" s="4"/>
      <x:c r="E98" s="4"/>
      <x:c r="F98" s="5"/>
      <x:c r="G98" s="6"/>
      <x:c r="H98" s="300"/>
      <x:c r="I98" s="3"/>
      <x:c r="J98" s="3"/>
      <x:c r="K98" s="4"/>
      <x:c r="L98" s="4">
        <x:f t="shared" si="16"/>
        <x:v>0</x:v>
      </x:c>
      <x:c r="M98" s="5">
        <x:f t="shared" si="14"/>
        <x:v>0</x:v>
      </x:c>
      <x:c r="N98" s="6"/>
    </x:row>
    <x:row r="99" spans="1:14" ht="20.100000000000001" customHeight="1">
      <x:c r="A99" s="7" t="s">
        <x:v>155</x:v>
      </x:c>
      <x:c r="B99" s="8"/>
      <x:c r="C99" s="8"/>
      <x:c r="D99" s="9">
        <x:f>SUM(D84:D98)</x:f>
        <x:v>464400</x:v>
      </x:c>
      <x:c r="E99" s="9">
        <x:f>SUM(E84:E98)</x:f>
        <x:v>46440</x:v>
      </x:c>
      <x:c r="F99" s="10">
        <x:f>SUM(F84:F98)</x:f>
        <x:v>510840</x:v>
      </x:c>
      <x:c r="G99" s="11"/>
      <x:c r="H99" s="7"/>
      <x:c r="I99" s="8"/>
      <x:c r="J99" s="8"/>
      <x:c r="K99" s="9">
        <x:f>SUM(K84:K98)</x:f>
        <x:v>1663800</x:v>
      </x:c>
      <x:c r="L99" s="9">
        <x:f>SUM(L84:L98)</x:f>
        <x:v>166380</x:v>
      </x:c>
      <x:c r="M99" s="10">
        <x:f>SUM(M84:M98)</x:f>
        <x:v>1830180</x:v>
      </x:c>
      <x:c r="N99" s="11"/>
    </x:row>
    <x:row r="100" spans="1:14" ht="20.100000000000001" customHeight="1">
      <x:c r="A100" s="301" t="s">
        <x:v>153</x:v>
      </x:c>
      <x:c r="B100" s="3"/>
      <x:c r="C100" s="3"/>
      <x:c r="D100" s="44"/>
      <x:c r="E100" s="44">
        <x:f>+D100*0.1</x:f>
        <x:v>0</x:v>
      </x:c>
      <x:c r="F100" s="45">
        <x:f>+D100+E100</x:f>
        <x:v>0</x:v>
      </x:c>
      <x:c r="G100" s="37"/>
      <x:c r="H100" s="301" t="s">
        <x:v>153</x:v>
      </x:c>
      <x:c r="I100" s="3"/>
      <x:c r="J100" s="3"/>
      <x:c r="K100" s="4"/>
      <x:c r="L100" s="4"/>
      <x:c r="M100" s="5">
        <x:f>+K100+L100</x:f>
        <x:v>0</x:v>
      </x:c>
      <x:c r="N100" s="6"/>
    </x:row>
    <x:row r="101" spans="1:14" ht="20.100000000000001" customHeight="1">
      <x:c r="A101" s="299"/>
      <x:c r="B101" s="3"/>
      <x:c r="C101" s="3"/>
      <x:c r="D101" s="44"/>
      <x:c r="E101" s="44">
        <x:f>+D101*0.1</x:f>
        <x:v>0</x:v>
      </x:c>
      <x:c r="F101" s="45">
        <x:f>+D101+E101</x:f>
        <x:v>0</x:v>
      </x:c>
      <x:c r="G101" s="37"/>
      <x:c r="H101" s="299"/>
      <x:c r="I101" s="3"/>
      <x:c r="J101" s="3"/>
      <x:c r="K101" s="4"/>
      <x:c r="L101" s="4">
        <x:f>+K101*0.1</x:f>
        <x:v>0</x:v>
      </x:c>
      <x:c r="M101" s="5">
        <x:f>+K101+L101</x:f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299"/>
      <x:c r="I102" s="3"/>
      <x:c r="J102" s="3"/>
      <x:c r="K102" s="4"/>
      <x:c r="L102" s="4">
        <x:f>+K102*0.1</x:f>
        <x:v>0</x:v>
      </x:c>
      <x:c r="M102" s="5">
        <x:f>+K102+L102</x:f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300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SUM(D100:D103)</x:f>
        <x:v>0</x:v>
      </x:c>
      <x:c r="E104" s="9">
        <x:f>SUM(E100:E103)</x:f>
        <x:v>0</x:v>
      </x:c>
      <x:c r="F104" s="10">
        <x:f>SUM(F100:F103)</x:f>
        <x:v>0</x:v>
      </x:c>
      <x:c r="G104" s="11"/>
      <x:c r="H104" s="7"/>
      <x:c r="I104" s="8"/>
      <x:c r="J104" s="8"/>
      <x:c r="K104" s="9">
        <x:f>SUM(K100:K103)</x:f>
        <x:v>0</x:v>
      </x:c>
      <x:c r="L104" s="9">
        <x:f>SUM(L100:L103)</x:f>
        <x:v>0</x:v>
      </x:c>
      <x:c r="M104" s="10">
        <x:f>SUM(M100:M103)</x:f>
        <x:v>0</x:v>
      </x:c>
      <x:c r="N104" s="11"/>
    </x:row>
    <x:row r="105" spans="1:14" ht="20.100000000000001" customHeight="1">
      <x:c r="A105" s="301" t="s">
        <x:v>187</x:v>
      </x:c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1" t="s">
        <x:v>187</x:v>
      </x:c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0</x:v>
      </x:c>
      <x:c r="E109" s="9">
        <x:f>SUM(E105:E108)</x:f>
        <x:v>0</x:v>
      </x:c>
      <x:c r="F109" s="10">
        <x:f>SUM(F105:F108)</x:f>
        <x:v>0</x:v>
      </x:c>
      <x:c r="G109" s="11"/>
      <x:c r="H109" s="7"/>
      <x:c r="I109" s="8"/>
      <x:c r="J109" s="8"/>
      <x:c r="K109" s="9">
        <x:f>SUM(K105:K108)</x:f>
        <x:v>0</x:v>
      </x:c>
      <x:c r="L109" s="9">
        <x:f>SUM(L105:L108)</x:f>
        <x:v>0</x:v>
      </x:c>
      <x:c r="M109" s="10">
        <x:f>SUM(M105:M108)</x:f>
        <x:v>0</x:v>
      </x:c>
      <x:c r="N109" s="11"/>
    </x:row>
    <x:row r="110" spans="1:14" ht="20.100000000000001" customHeight="1">
      <x:c r="A110" s="301" t="s">
        <x:v>149</x:v>
      </x:c>
      <x:c r="B110" s="3"/>
      <x:c r="C110" s="3"/>
      <x:c r="D110" s="4"/>
      <x:c r="E110" s="4"/>
      <x:c r="F110" s="5">
        <x:f>+D110+E110</x:f>
        <x:v>0</x:v>
      </x:c>
      <x:c r="G110" s="6"/>
      <x:c r="H110" s="301" t="s">
        <x:v>149</x:v>
      </x:c>
      <x:c r="I110" s="3"/>
      <x:c r="J110" s="3"/>
      <x:c r="K110" s="4"/>
      <x:c r="L110" s="4">
        <x:f>+K110*0.1</x:f>
        <x:v>0</x:v>
      </x:c>
      <x:c r="M110" s="5">
        <x:f t="shared" ref="M110:M117" si="18"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/>
      <x:c r="F111" s="5">
        <x:f>+D111+E111</x:f>
        <x:v>0</x:v>
      </x:c>
      <x:c r="G111" s="6"/>
      <x:c r="H111" s="299"/>
      <x:c r="I111" s="3"/>
      <x:c r="J111" s="3"/>
      <x:c r="K111" s="4"/>
      <x:c r="L111" s="4">
        <x:f t="shared" ref="L111:L117" si="19">+K111*0.1</x:f>
        <x:v>0</x:v>
      </x:c>
      <x:c r="M111" s="5">
        <x:f t="shared" si="18"/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/>
      <x:c r="F112" s="5">
        <x:f>+D112+E112</x:f>
        <x:v>0</x:v>
      </x:c>
      <x:c r="G112" s="6"/>
      <x:c r="H112" s="299"/>
      <x:c r="I112" s="3"/>
      <x:c r="J112" s="3"/>
      <x:c r="K112" s="4"/>
      <x:c r="L112" s="4">
        <x:f t="shared" si="19"/>
        <x:v>0</x:v>
      </x:c>
      <x:c r="M112" s="5">
        <x:f t="shared" si="18"/>
        <x:v>0</x:v>
      </x:c>
      <x:c r="N112" s="6"/>
    </x:row>
    <x:row r="113" spans="1:14" ht="20.100000000000001" customHeight="1">
      <x:c r="A113" s="299"/>
      <x:c r="B113" s="3"/>
      <x:c r="C113" s="3"/>
      <x:c r="D113" s="4"/>
      <x:c r="E113" s="4"/>
      <x:c r="F113" s="5">
        <x:f t="shared" ref="F113:F119" si="20">+D113+E113</x:f>
        <x:v>0</x:v>
      </x:c>
      <x:c r="G113" s="6"/>
      <x:c r="H113" s="299"/>
      <x:c r="I113" s="3"/>
      <x:c r="J113" s="3"/>
      <x:c r="K113" s="4"/>
      <x:c r="L113" s="4"/>
      <x:c r="M113" s="5">
        <x:f t="shared" si="18"/>
        <x:v>0</x:v>
      </x:c>
      <x:c r="N113" s="6"/>
    </x:row>
    <x:row r="114" spans="1:14" ht="20.100000000000001" customHeight="1">
      <x:c r="A114" s="299"/>
      <x:c r="B114" s="3"/>
      <x:c r="C114" s="3"/>
      <x:c r="D114" s="4"/>
      <x:c r="E114" s="4"/>
      <x:c r="F114" s="5">
        <x:f t="shared" si="20"/>
        <x:v>0</x:v>
      </x:c>
      <x:c r="G114" s="6"/>
      <x:c r="H114" s="299"/>
      <x:c r="I114" s="3"/>
      <x:c r="J114" s="3"/>
      <x:c r="K114" s="4"/>
      <x:c r="L114" s="4">
        <x:f t="shared" si="19"/>
        <x:v>0</x:v>
      </x:c>
      <x:c r="M114" s="5">
        <x:f t="shared" si="18"/>
        <x:v>0</x:v>
      </x:c>
      <x:c r="N114" s="6"/>
    </x:row>
    <x:row r="115" spans="1:14" ht="20.100000000000001" customHeight="1">
      <x:c r="A115" s="299"/>
      <x:c r="B115" s="3"/>
      <x:c r="C115" s="3"/>
      <x:c r="D115" s="4"/>
      <x:c r="E115" s="4"/>
      <x:c r="F115" s="5">
        <x:f t="shared" si="20"/>
        <x:v>0</x:v>
      </x:c>
      <x:c r="G115" s="6"/>
      <x:c r="H115" s="299"/>
      <x:c r="I115" s="3"/>
      <x:c r="J115" s="3"/>
      <x:c r="K115" s="4"/>
      <x:c r="L115" s="4">
        <x:f t="shared" si="19"/>
        <x:v>0</x:v>
      </x:c>
      <x:c r="M115" s="5">
        <x:f t="shared" si="18"/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20"/>
        <x:v>0</x:v>
      </x:c>
      <x:c r="G116" s="6"/>
      <x:c r="H116" s="299"/>
      <x:c r="I116" s="3"/>
      <x:c r="J116" s="3"/>
      <x:c r="K116" s="4"/>
      <x:c r="L116" s="4">
        <x:f t="shared" si="19"/>
        <x:v>0</x:v>
      </x:c>
      <x:c r="M116" s="5">
        <x:f t="shared" si="18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 t="shared" si="20"/>
        <x:v>0</x:v>
      </x:c>
      <x:c r="G117" s="6"/>
      <x:c r="H117" s="299"/>
      <x:c r="I117" s="3"/>
      <x:c r="J117" s="3"/>
      <x:c r="K117" s="4"/>
      <x:c r="L117" s="4">
        <x:f t="shared" si="19"/>
        <x:v>0</x:v>
      </x:c>
      <x:c r="M117" s="5">
        <x:f t="shared" si="18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si="20"/>
        <x:v>0</x:v>
      </x:c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300"/>
      <x:c r="B119" s="3"/>
      <x:c r="C119" s="3"/>
      <x:c r="D119" s="4"/>
      <x:c r="E119" s="4"/>
      <x:c r="F119" s="5">
        <x:f t="shared" si="20"/>
        <x:v>0</x:v>
      </x:c>
      <x:c r="G119" s="6"/>
      <x:c r="H119" s="300"/>
      <x:c r="I119" s="3"/>
      <x:c r="J119" s="3"/>
      <x:c r="K119" s="4"/>
      <x:c r="L119" s="4">
        <x:f>+K119*0.1</x:f>
        <x:v>0</x:v>
      </x:c>
      <x:c r="M119" s="5">
        <x:f>+K119+L119</x:f>
        <x:v>0</x:v>
      </x:c>
      <x:c r="N119" s="6"/>
    </x:row>
    <x:row r="120" spans="1:14" ht="20.100000000000001" customHeight="1">
      <x:c r="A120" s="7" t="s">
        <x:v>155</x:v>
      </x:c>
      <x:c r="B120" s="8"/>
      <x:c r="C120" s="8"/>
      <x:c r="D120" s="9">
        <x:f>SUM(D110:D119)</x:f>
        <x:v>0</x:v>
      </x:c>
      <x:c r="E120" s="9">
        <x:f>SUM(E110:E119)</x:f>
        <x:v>0</x:v>
      </x:c>
      <x:c r="F120" s="10">
        <x:f>SUM(F110:F119)</x:f>
        <x:v>0</x:v>
      </x:c>
      <x:c r="G120" s="11"/>
      <x:c r="H120" s="7"/>
      <x:c r="I120" s="8"/>
      <x:c r="J120" s="8"/>
      <x:c r="K120" s="9">
        <x:f>SUM(K110:K119)</x:f>
        <x:v>0</x:v>
      </x:c>
      <x:c r="L120" s="9">
        <x:f>SUM(L110:L119)</x:f>
        <x:v>0</x:v>
      </x:c>
      <x:c r="M120" s="10">
        <x:f>SUM(M110:M119)</x:f>
        <x:v>0</x:v>
      </x:c>
      <x:c r="N120" s="11"/>
    </x:row>
    <x:row r="121" spans="1:14" ht="20.100000000000001" customHeight="1">
      <x:c r="A121" s="12" t="s">
        <x:v>1690</x:v>
      </x:c>
      <x:c r="B121" s="13"/>
      <x:c r="C121" s="13"/>
      <x:c r="D121" s="14">
        <x:f>+D99+D104+D109+D120</x:f>
        <x:v>464400</x:v>
      </x:c>
      <x:c r="E121" s="14">
        <x:f>+E99+E104+E109+E120</x:f>
        <x:v>46440</x:v>
      </x:c>
      <x:c r="F121" s="15">
        <x:f>+F99+F104+F109+F120</x:f>
        <x:v>510840</x:v>
      </x:c>
      <x:c r="G121" s="16"/>
      <x:c r="H121" s="12"/>
      <x:c r="I121" s="13"/>
      <x:c r="J121" s="13"/>
      <x:c r="K121" s="14">
        <x:f>+K99+K104+K109+K120</x:f>
        <x:v>1663800</x:v>
      </x:c>
      <x:c r="L121" s="14">
        <x:f>+L99+L104+L109+L120</x:f>
        <x:v>166380</x:v>
      </x:c>
      <x:c r="M121" s="15">
        <x:f>+M99+M104+M109+M120</x:f>
        <x:v>1830180</x:v>
      </x:c>
      <x:c r="N121" s="16"/>
    </x:row>
    <x:row r="122" spans="1:14" ht="20.100000000000001" customHeight="1">
      <x:c r="A122" s="23" t="s">
        <x:v>35</x:v>
      </x:c>
      <x:c r="B122" s="24"/>
      <x:c r="C122" s="24"/>
      <x:c r="D122" s="25">
        <x:f>+D83-D121</x:f>
        <x:v>-464400</x:v>
      </x:c>
      <x:c r="E122" s="25">
        <x:f>+E83-E121</x:f>
        <x:v>-46440</x:v>
      </x:c>
      <x:c r="F122" s="26">
        <x:f>+F83-F121</x:f>
        <x:v>-510840</x:v>
      </x:c>
      <x:c r="G122" s="27"/>
      <x:c r="H122" s="23"/>
      <x:c r="I122" s="24"/>
      <x:c r="J122" s="24"/>
      <x:c r="K122" s="25">
        <x:f>+K83-K121</x:f>
        <x:v>-1663800</x:v>
      </x:c>
      <x:c r="L122" s="25">
        <x:f>+L83-L121</x:f>
        <x:v>-166380</x:v>
      </x:c>
      <x:c r="M122" s="26">
        <x:f>+M83-M121</x:f>
        <x:v>-1830180</x:v>
      </x:c>
      <x:c r="N122" s="27"/>
    </x:row>
    <x:row r="125" spans="1:13">
      <x:c r="A125" s="1" t="s">
        <x:v>148</x:v>
      </x:c>
      <x:c r="D125" s="2">
        <x:f>+D15+D57+D99</x:f>
        <x:v>61313980</x:v>
      </x:c>
      <x:c r="E125" s="2">
        <x:f>+E15+E57+E99</x:f>
        <x:v>6131398</x:v>
      </x:c>
      <x:c r="F125" s="2">
        <x:f>+F15+F57+F99</x:f>
        <x:v>67445378</x:v>
      </x:c>
      <x:c r="K125" s="2">
        <x:f>+K15+K57+K99</x:f>
        <x:v>15018420</x:v>
      </x:c>
      <x:c r="L125" s="2">
        <x:f>+L15+L57+L99</x:f>
        <x:v>1500342</x:v>
      </x:c>
      <x:c r="M125" s="2">
        <x:f>+M15+M57+M99</x:f>
        <x:v>16518762</x:v>
      </x:c>
    </x:row>
    <x:row r="126" spans="1:13">
      <x:c r="A126" s="1" t="s">
        <x:v>153</x:v>
      </x:c>
      <x:c r="D126" s="2">
        <x:f>+D20+D62+D104</x:f>
        <x:v>60426400</x:v>
      </x:c>
      <x:c r="E126" s="2">
        <x:f>+E20+E62+E104</x:f>
        <x:v>1913640</x:v>
      </x:c>
      <x:c r="F126" s="2">
        <x:f>+F20+F62+F104</x:f>
        <x:v>62340040</x:v>
      </x:c>
      <x:c r="K126" s="2">
        <x:f>+K20+K62+K104</x:f>
        <x:v>43735000</x:v>
      </x:c>
      <x:c r="L126" s="2">
        <x:f>+L20+L62+L104</x:f>
        <x:v>0</x:v>
      </x:c>
      <x:c r="M126" s="2">
        <x:f>+M20+M62+M104</x:f>
        <x:v>43735000</x:v>
      </x:c>
    </x:row>
    <x:row r="127" spans="1:13">
      <x:c r="A127" s="1" t="s">
        <x:v>187</x:v>
      </x:c>
      <x:c r="D127" s="2">
        <x:f>+D25+D67+D109</x:f>
        <x:v>50000</x:v>
      </x:c>
      <x:c r="E127" s="2">
        <x:f>+E25+E67+E109</x:f>
        <x:v>5000</x:v>
      </x:c>
      <x:c r="F127" s="2">
        <x:f>+F25+F67+F109</x:f>
        <x:v>55000</x:v>
      </x:c>
      <x:c r="K127" s="2">
        <x:f>+K25+K67+K109</x:f>
        <x:v>0</x:v>
      </x:c>
      <x:c r="L127" s="2">
        <x:f>+L25+L67+L109</x:f>
        <x:v>0</x:v>
      </x:c>
      <x:c r="M127" s="2">
        <x:f>+M25+M67+M109</x:f>
        <x:v>0</x:v>
      </x:c>
    </x:row>
    <x:row r="128" spans="1:13">
      <x:c r="A128" s="1" t="s">
        <x:v>149</x:v>
      </x:c>
      <x:c r="D128" s="2">
        <x:f>+D36+D78+D120</x:f>
        <x:v>5011250</x:v>
      </x:c>
      <x:c r="E128" s="2">
        <x:f>+E36+E78+E120</x:f>
        <x:v>148900</x:v>
      </x:c>
      <x:c r="F128" s="2">
        <x:f>+F36+F78+F120</x:f>
        <x:v>5160150</x:v>
      </x:c>
      <x:c r="K128" s="2">
        <x:f>+K36+K78+K120</x:f>
        <x:v>6463809</x:v>
      </x:c>
      <x:c r="L128" s="2">
        <x:f>+L36+L78+L120</x:f>
        <x:v>360000.89999999997</x:v>
      </x:c>
      <x:c r="M128" s="2">
        <x:f>+M36+M78+M120</x:f>
        <x:v>6823809.8999999994</x:v>
      </x:c>
    </x:row>
    <x:row r="129" spans="4:13">
      <x:c r="D129" s="2">
        <x:f>SUM(D125:D128)</x:f>
        <x:v>126801630</x:v>
      </x:c>
      <x:c r="E129" s="2">
        <x:f>SUM(E125:E128)</x:f>
        <x:v>8198938</x:v>
      </x:c>
      <x:c r="F129" s="2">
        <x:f>SUM(F125:F128)</x:f>
        <x:v>135000568</x:v>
      </x:c>
      <x:c r="K129" s="2">
        <x:f>SUM(K125:K128)</x:f>
        <x:v>65217229</x:v>
      </x:c>
      <x:c r="L129" s="2">
        <x:f>SUM(L125:L128)</x:f>
        <x:v>1860342.8999999999</x:v>
      </x:c>
      <x:c r="M129" s="2">
        <x:f>SUM(M125:M128)</x:f>
        <x:v>67077571.899999999</x:v>
      </x:c>
    </x:row>
  </x:sheetData>
  <x:mergeCells count="31">
    <x:mergeCell ref="A100:A103"/>
    <x:mergeCell ref="H100:H103"/>
    <x:mergeCell ref="A105:A108"/>
    <x:mergeCell ref="H105:H108"/>
    <x:mergeCell ref="A110:A119"/>
    <x:mergeCell ref="H110:H119"/>
    <x:mergeCell ref="A68:A77"/>
    <x:mergeCell ref="H68:H77"/>
    <x:mergeCell ref="A81:G81"/>
    <x:mergeCell ref="H81:N81"/>
    <x:mergeCell ref="A84:A98"/>
    <x:mergeCell ref="H84:H98"/>
    <x:mergeCell ref="A42:A56"/>
    <x:mergeCell ref="H42:H56"/>
    <x:mergeCell ref="A58:A61"/>
    <x:mergeCell ref="H58:H61"/>
    <x:mergeCell ref="A63:A66"/>
    <x:mergeCell ref="H63:H66"/>
    <x:mergeCell ref="A21:A24"/>
    <x:mergeCell ref="H21:H24"/>
    <x:mergeCell ref="A26:A35"/>
    <x:mergeCell ref="H26:H35"/>
    <x:mergeCell ref="A39:G39"/>
    <x:mergeCell ref="H39:N39"/>
    <x:mergeCell ref="A1:N1"/>
    <x:mergeCell ref="A2:G2"/>
    <x:mergeCell ref="H2:N2"/>
    <x:mergeCell ref="A16:A19"/>
    <x:mergeCell ref="H16:H19"/>
    <x:mergeCell ref="A5:A14"/>
    <x:mergeCell ref="H5:H1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38" min="0" max="1048575" man="1" pt="0"/>
  </x:rowBreaks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N129"/>
  <x:sheetViews>
    <x:sheetView view="pageBreakPreview" topLeftCell="A1" zoomScaleNormal="100" zoomScaleSheetLayoutView="100" workbookViewId="0">
      <x:selection activeCell="L31" activeCellId="0" sqref="L31:L3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1724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3" t="s">
        <x:v>151</x:v>
      </x:c>
      <x:c r="B4" s="38" t="s">
        <x:v>1679</x:v>
      </x:c>
      <x:c r="C4" s="38" t="s">
        <x:v>1678</x:v>
      </x:c>
      <x:c r="D4" s="39">
        <x:v>78270000</x:v>
      </x:c>
      <x:c r="E4" s="39">
        <x:v>3730000</x:v>
      </x:c>
      <x:c r="F4" s="40">
        <x:f t="shared" ref="F4:F12" si="0">+D4+E4</x:f>
        <x:v>82000000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110000000</x:v>
      </x:c>
      <x:c r="L4" s="39"/>
      <x:c r="M4" s="40">
        <x:f>+K4+L4</x:f>
        <x:v>110000000</x:v>
      </x:c>
      <x:c r="N4" s="42"/>
    </x:row>
    <x:row r="5" spans="1:14" ht="20.100000000000001" customHeight="1">
      <x:c r="A5" s="298" t="s">
        <x:v>148</x:v>
      </x:c>
      <x:c r="B5" s="54" t="s">
        <x:v>867</x:v>
      </x:c>
      <x:c r="C5" s="54" t="s">
        <x:v>70</x:v>
      </x:c>
      <x:c r="D5" s="20">
        <x:v>2132777</x:v>
      </x:c>
      <x:c r="E5" s="20">
        <x:f>+INT(D5*0.1)</x:f>
        <x:v>213277</x:v>
      </x:c>
      <x:c r="F5" s="21">
        <x:f t="shared" si="0"/>
        <x:v>2346054</x:v>
      </x:c>
      <x:c r="G5" s="22"/>
      <x:c r="H5" s="298" t="s">
        <x:v>148</x:v>
      </x:c>
      <x:c r="I5" s="19" t="s">
        <x:v>838</x:v>
      </x:c>
      <x:c r="J5" s="19" t="s">
        <x:v>990</x:v>
      </x:c>
      <x:c r="K5" s="20">
        <x:v>6612000</x:v>
      </x:c>
      <x:c r="L5" s="20">
        <x:f t="shared" ref="L5:L10" si="1">+K5*0.1</x:f>
        <x:v>661200</x:v>
      </x:c>
      <x:c r="M5" s="21">
        <x:f t="shared" ref="M5:M19" si="2">+K5+L5</x:f>
        <x:v>7273200</x:v>
      </x:c>
      <x:c r="N5" s="22"/>
    </x:row>
    <x:row r="6" spans="1:14" ht="20.100000000000001" customHeight="1">
      <x:c r="A6" s="299"/>
      <x:c r="B6" s="3" t="s">
        <x:v>854</x:v>
      </x:c>
      <x:c r="C6" s="3" t="s">
        <x:v>353</x:v>
      </x:c>
      <x:c r="D6" s="4">
        <x:v>24901280</x:v>
      </x:c>
      <x:c r="E6" s="4">
        <x:f t="shared" ref="E6:E12" si="3">+INT(D6*0.1)</x:f>
        <x:v>2490128</x:v>
      </x:c>
      <x:c r="F6" s="5">
        <x:f t="shared" si="0"/>
        <x:v>27391408</x:v>
      </x:c>
      <x:c r="G6" s="6"/>
      <x:c r="H6" s="299"/>
      <x:c r="I6" s="3" t="s">
        <x:v>867</x:v>
      </x:c>
      <x:c r="J6" s="3" t="s">
        <x:v>71</x:v>
      </x:c>
      <x:c r="K6" s="4">
        <x:v>18907300</x:v>
      </x:c>
      <x:c r="L6" s="4">
        <x:f t="shared" si="1"/>
        <x:v>1890730</x:v>
      </x:c>
      <x:c r="M6" s="5">
        <x:f t="shared" si="2"/>
        <x:v>20798030</x:v>
      </x:c>
      <x:c r="N6" s="6"/>
    </x:row>
    <x:row r="7" spans="1:14" ht="20.100000000000001" customHeight="1">
      <x:c r="A7" s="299"/>
      <x:c r="B7" s="3" t="s">
        <x:v>846</x:v>
      </x:c>
      <x:c r="C7" s="3" t="s">
        <x:v>2</x:v>
      </x:c>
      <x:c r="D7" s="4">
        <x:v>893979</x:v>
      </x:c>
      <x:c r="E7" s="4">
        <x:f t="shared" si="3"/>
        <x:v>89397</x:v>
      </x:c>
      <x:c r="F7" s="5">
        <x:f t="shared" si="0"/>
        <x:v>983376</x:v>
      </x:c>
      <x:c r="G7" s="6"/>
      <x:c r="H7" s="299"/>
      <x:c r="I7" s="3" t="s">
        <x:v>34</x:v>
      </x:c>
      <x:c r="J7" s="3" t="s">
        <x:v>64</x:v>
      </x:c>
      <x:c r="K7" s="4">
        <x:v>6205560</x:v>
      </x:c>
      <x:c r="L7" s="4">
        <x:f t="shared" si="1"/>
        <x:v>620556</x:v>
      </x:c>
      <x:c r="M7" s="5">
        <x:f t="shared" si="2"/>
        <x:v>6826116</x:v>
      </x:c>
      <x:c r="N7" s="6"/>
    </x:row>
    <x:row r="8" spans="1:14" ht="20.100000000000001" customHeight="1">
      <x:c r="A8" s="299"/>
      <x:c r="B8" s="3"/>
      <x:c r="C8" s="3"/>
      <x:c r="D8" s="4"/>
      <x:c r="E8" s="4">
        <x:f t="shared" si="3"/>
        <x:v>0</x:v>
      </x:c>
      <x:c r="F8" s="5">
        <x:f t="shared" si="0"/>
        <x:v>0</x:v>
      </x:c>
      <x:c r="G8" s="6"/>
      <x:c r="H8" s="299"/>
      <x:c r="I8" s="3" t="s">
        <x:v>840</x:v>
      </x:c>
      <x:c r="J8" s="3" t="s">
        <x:v>617</x:v>
      </x:c>
      <x:c r="K8" s="4">
        <x:v>1152700</x:v>
      </x:c>
      <x:c r="L8" s="4">
        <x:f t="shared" si="1"/>
        <x:v>115270</x:v>
      </x:c>
      <x:c r="M8" s="5">
        <x:f t="shared" si="2"/>
        <x:v>1267970</x:v>
      </x:c>
      <x:c r="N8" s="6"/>
    </x:row>
    <x:row r="9" spans="1:14" ht="20.100000000000001" customHeight="1">
      <x:c r="A9" s="299"/>
      <x:c r="B9" s="3"/>
      <x:c r="C9" s="3"/>
      <x:c r="D9" s="4"/>
      <x:c r="E9" s="4">
        <x:f t="shared" si="3"/>
        <x:v>0</x:v>
      </x:c>
      <x:c r="F9" s="5">
        <x:f t="shared" si="0"/>
        <x:v>0</x:v>
      </x:c>
      <x:c r="G9" s="6"/>
      <x:c r="H9" s="299"/>
      <x:c r="I9" s="3" t="s">
        <x:v>976</x:v>
      </x:c>
      <x:c r="J9" s="3" t="s">
        <x:v>78</x:v>
      </x:c>
      <x:c r="K9" s="4">
        <x:v>6194600</x:v>
      </x:c>
      <x:c r="L9" s="4">
        <x:f t="shared" si="1"/>
        <x:v>619460</x:v>
      </x:c>
      <x:c r="M9" s="5">
        <x:f t="shared" si="2"/>
        <x:v>6814060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si="3"/>
        <x:v>0</x:v>
      </x:c>
      <x:c r="F10" s="5">
        <x:f t="shared" si="0"/>
        <x:v>0</x:v>
      </x:c>
      <x:c r="G10" s="6"/>
      <x:c r="H10" s="299"/>
      <x:c r="I10" s="3" t="s">
        <x:v>907</x:v>
      </x:c>
      <x:c r="J10" s="3" t="s">
        <x:v>618</x:v>
      </x:c>
      <x:c r="K10" s="4">
        <x:v>530000</x:v>
      </x:c>
      <x:c r="L10" s="4">
        <x:f t="shared" si="1"/>
        <x:v>53000</x:v>
      </x:c>
      <x:c r="M10" s="5">
        <x:f t="shared" si="2"/>
        <x:v>583000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3"/>
        <x:v>0</x:v>
      </x:c>
      <x:c r="F11" s="5">
        <x:f t="shared" si="0"/>
        <x:v>0</x:v>
      </x:c>
      <x:c r="G11" s="6"/>
      <x:c r="H11" s="299"/>
      <x:c r="I11" s="3" t="s">
        <x:v>997</x:v>
      </x:c>
      <x:c r="J11" s="3" t="s">
        <x:v>977</x:v>
      </x:c>
      <x:c r="K11" s="4">
        <x:v>1000000</x:v>
      </x:c>
      <x:c r="L11" s="4">
        <x:f>+INT(K11*0.1)</x:f>
        <x:v>100000</x:v>
      </x:c>
      <x:c r="M11" s="5">
        <x:f t="shared" si="2"/>
        <x:v>1100000</x:v>
      </x:c>
      <x:c r="N11" s="6" t="s">
        <x:v>619</x:v>
      </x:c>
    </x:row>
    <x:row r="12" spans="1:14" ht="20.100000000000001" customHeight="1">
      <x:c r="A12" s="299"/>
      <x:c r="B12" s="3"/>
      <x:c r="C12" s="3"/>
      <x:c r="D12" s="4"/>
      <x:c r="E12" s="4">
        <x:f t="shared" si="3"/>
        <x:v>0</x:v>
      </x:c>
      <x:c r="F12" s="5">
        <x:f t="shared" si="0"/>
        <x:v>0</x:v>
      </x:c>
      <x:c r="G12" s="6"/>
      <x:c r="H12" s="299"/>
      <x:c r="I12" s="3" t="s">
        <x:v>846</x:v>
      </x:c>
      <x:c r="J12" s="3" t="s">
        <x:v>334</x:v>
      </x:c>
      <x:c r="K12" s="4">
        <x:v>2904400</x:v>
      </x:c>
      <x:c r="L12" s="4">
        <x:f t="shared" ref="L12:L19" si="4">+K12*0.1</x:f>
        <x:v>290440</x:v>
      </x:c>
      <x:c r="M12" s="5">
        <x:f t="shared" si="2"/>
        <x:v>3194840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5"/>
      <x:c r="G13" s="6"/>
      <x:c r="H13" s="299"/>
      <x:c r="I13" s="3" t="s">
        <x:v>938</x:v>
      </x:c>
      <x:c r="J13" s="3"/>
      <x:c r="K13" s="4"/>
      <x:c r="L13" s="4">
        <x:f t="shared" si="4"/>
        <x:v>0</x:v>
      </x:c>
      <x:c r="M13" s="5">
        <x:f t="shared" si="2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5"/>
      <x:c r="G14" s="6"/>
      <x:c r="H14" s="300"/>
      <x:c r="I14" s="3"/>
      <x:c r="J14" s="3"/>
      <x:c r="K14" s="4"/>
      <x:c r="L14" s="4"/>
      <x:c r="M14" s="5">
        <x:f t="shared" si="2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27928036</x:v>
      </x:c>
      <x:c r="E15" s="9">
        <x:f>SUM(E5:E14)</x:f>
        <x:v>2792802</x:v>
      </x:c>
      <x:c r="F15" s="10">
        <x:f>SUM(F5:F14)</x:f>
        <x:v>30720838</x:v>
      </x:c>
      <x:c r="G15" s="11"/>
      <x:c r="H15" s="7"/>
      <x:c r="I15" s="8"/>
      <x:c r="J15" s="8"/>
      <x:c r="K15" s="9">
        <x:f>SUM(K5:K14)</x:f>
        <x:v>43506560</x:v>
      </x:c>
      <x:c r="L15" s="9">
        <x:f>SUM(L5:L14)</x:f>
        <x:v>4350656</x:v>
      </x:c>
      <x:c r="M15" s="10">
        <x:f>SUM(M5:M14)</x:f>
        <x:v>47857216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22235000</x:v>
      </x:c>
      <x:c r="E16" s="44"/>
      <x:c r="F16" s="45">
        <x:f>+D16+E16</x:f>
        <x:v>22235000</x:v>
      </x:c>
      <x:c r="G16" s="37"/>
      <x:c r="H16" s="301" t="s">
        <x:v>153</x:v>
      </x:c>
      <x:c r="I16" s="3" t="s">
        <x:v>1677</x:v>
      </x:c>
      <x:c r="J16" s="3"/>
      <x:c r="K16" s="4">
        <x:v>22700000</x:v>
      </x:c>
      <x:c r="L16" s="4"/>
      <x:c r="M16" s="5">
        <x:f t="shared" si="2"/>
        <x:v>22700000</x:v>
      </x:c>
      <x:c r="N16" s="6"/>
    </x:row>
    <x:row r="17" spans="1:14" ht="20.100000000000001" customHeight="1">
      <x:c r="A17" s="299"/>
      <x:c r="B17" s="3" t="s">
        <x:v>980</x:v>
      </x:c>
      <x:c r="C17" s="3" t="s">
        <x:v>6</x:v>
      </x:c>
      <x:c r="D17" s="4">
        <x:v>5754000</x:v>
      </x:c>
      <x:c r="E17" s="4">
        <x:f>+INT(D17*0.1)</x:f>
        <x:v>575400</x:v>
      </x:c>
      <x:c r="F17" s="5">
        <x:f>+D17+E17</x:f>
        <x:v>6329400</x:v>
      </x:c>
      <x:c r="G17" s="37"/>
      <x:c r="H17" s="299"/>
      <x:c r="I17" s="3" t="s">
        <x:v>982</x:v>
      </x:c>
      <x:c r="J17" s="3" t="s">
        <x:v>1002</x:v>
      </x:c>
      <x:c r="K17" s="4">
        <x:v>15395000</x:v>
      </x:c>
      <x:c r="L17" s="4"/>
      <x:c r="M17" s="5">
        <x:f t="shared" si="2"/>
        <x:v>15395000</x:v>
      </x:c>
      <x:c r="N17" s="6"/>
    </x:row>
    <x:row r="18" spans="1:14" ht="20.100000000000001" customHeight="1">
      <x:c r="A18" s="299"/>
      <x:c r="B18" s="3" t="s">
        <x:v>987</x:v>
      </x:c>
      <x:c r="C18" s="3" t="s">
        <x:v>996</x:v>
      </x:c>
      <x:c r="D18" s="4">
        <x:v>12000000</x:v>
      </x:c>
      <x:c r="E18" s="4">
        <x:f>+INT(D18*0.1)</x:f>
        <x:v>1200000</x:v>
      </x:c>
      <x:c r="F18" s="5">
        <x:f>+D18+E18</x:f>
        <x:v>13200000</x:v>
      </x:c>
      <x:c r="G18" s="6"/>
      <x:c r="H18" s="299"/>
      <x:c r="I18" s="3" t="s">
        <x:v>999</x:v>
      </x:c>
      <x:c r="J18" s="3" t="s">
        <x:v>1002</x:v>
      </x:c>
      <x:c r="K18" s="4">
        <x:v>16848400</x:v>
      </x:c>
      <x:c r="L18" s="4">
        <x:f t="shared" si="4"/>
        <x:v>1684840</x:v>
      </x:c>
      <x:c r="M18" s="5">
        <x:f t="shared" si="2"/>
        <x:v>18533240</x:v>
      </x:c>
      <x:c r="N18" s="6"/>
    </x:row>
    <x:row r="19" spans="1:14" ht="20.100000000000001" customHeight="1">
      <x:c r="A19" s="300"/>
      <x:c r="B19" s="3"/>
      <x:c r="C19" s="3"/>
      <x:c r="D19" s="4"/>
      <x:c r="E19" s="4">
        <x:f>+D19*0.1</x:f>
        <x:v>0</x:v>
      </x:c>
      <x:c r="F19" s="5">
        <x:f>+D19+E19</x:f>
        <x:v>0</x:v>
      </x:c>
      <x:c r="G19" s="6"/>
      <x:c r="H19" s="300"/>
      <x:c r="I19" s="3"/>
      <x:c r="J19" s="3"/>
      <x:c r="K19" s="4"/>
      <x:c r="L19" s="4">
        <x:f t="shared" si="4"/>
        <x:v>0</x:v>
      </x:c>
      <x:c r="M19" s="5">
        <x:f t="shared" si="2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SUM(D16:D19)</x:f>
        <x:v>39989000</x:v>
      </x:c>
      <x:c r="E20" s="9">
        <x:f>SUM(E16:E19)</x:f>
        <x:v>1775400</x:v>
      </x:c>
      <x:c r="F20" s="10">
        <x:f>SUM(F16:F19)</x:f>
        <x:v>41764400</x:v>
      </x:c>
      <x:c r="G20" s="11"/>
      <x:c r="H20" s="7"/>
      <x:c r="I20" s="8"/>
      <x:c r="J20" s="8"/>
      <x:c r="K20" s="9">
        <x:f>SUM(K16:K19)</x:f>
        <x:v>54943400</x:v>
      </x:c>
      <x:c r="L20" s="9">
        <x:f>SUM(L16:L19)</x:f>
        <x:v>1684840</x:v>
      </x:c>
      <x:c r="M20" s="10">
        <x:f>SUM(M16:M19)</x:f>
        <x:v>56628240</x:v>
      </x:c>
      <x:c r="N20" s="11"/>
    </x:row>
    <x:row r="21" spans="1:14" ht="20.100000000000001" customHeight="1">
      <x:c r="A21" s="301" t="s">
        <x:v>187</x:v>
      </x:c>
      <x:c r="B21" s="3" t="s">
        <x:v>1693</x:v>
      </x:c>
      <x:c r="C21" s="3" t="s">
        <x:v>948</x:v>
      </x:c>
      <x:c r="D21" s="4"/>
      <x:c r="E21" s="4">
        <x:f>+D21*0.1</x:f>
        <x:v>0</x:v>
      </x:c>
      <x:c r="F21" s="5">
        <x:f>+D21+E21</x:f>
        <x:v>0</x:v>
      </x:c>
      <x:c r="G21" s="6"/>
      <x:c r="H21" s="301" t="s">
        <x:v>187</x:v>
      </x:c>
      <x:c r="I21" s="3"/>
      <x:c r="J21" s="3"/>
      <x:c r="K21" s="4"/>
      <x:c r="L21" s="4">
        <x:f>+K21*0.1</x:f>
        <x:v>0</x:v>
      </x:c>
      <x:c r="M21" s="5">
        <x:f>+K21+L21</x:f>
        <x:v>0</x:v>
      </x:c>
      <x:c r="N21" s="6"/>
    </x:row>
    <x:row r="22" spans="1:14" ht="20.100000000000001" customHeight="1">
      <x:c r="A22" s="299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6"/>
      <x:c r="H22" s="299"/>
      <x:c r="I22" s="3"/>
      <x:c r="J22" s="3"/>
      <x:c r="K22" s="4"/>
      <x:c r="L22" s="4">
        <x:f>+K22*0.1</x:f>
        <x:v>0</x:v>
      </x:c>
      <x:c r="M22" s="5">
        <x:f>+K22+L22</x:f>
        <x:v>0</x:v>
      </x:c>
      <x:c r="N22" s="6"/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>+K24*0.1</x:f>
        <x:v>0</x:v>
      </x:c>
      <x:c r="M24" s="5">
        <x:f>+K24+L24</x:f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0</x:v>
      </x:c>
      <x:c r="E25" s="9">
        <x:f>SUM(E21:E24)</x:f>
        <x:v>0</x:v>
      </x:c>
      <x:c r="F25" s="10">
        <x:f>SUM(F21:F24)</x:f>
        <x:v>0</x:v>
      </x:c>
      <x:c r="G25" s="11"/>
      <x:c r="H25" s="7"/>
      <x:c r="I25" s="8"/>
      <x:c r="J25" s="8"/>
      <x:c r="K25" s="9">
        <x:f>SUM(K21:K24)</x:f>
        <x:v>0</x:v>
      </x:c>
      <x:c r="L25" s="9">
        <x:f>SUM(L21:L24)</x:f>
        <x:v>0</x:v>
      </x:c>
      <x:c r="M25" s="10">
        <x:f>SUM(M21:M24)</x:f>
        <x:v>0</x:v>
      </x:c>
      <x:c r="N25" s="11"/>
    </x:row>
    <x:row r="26" spans="1:14" ht="20.100000000000001" customHeight="1">
      <x:c r="A26" s="301" t="s">
        <x:v>149</x:v>
      </x:c>
      <x:c r="B26" s="3" t="s">
        <x:v>940</x:v>
      </x:c>
      <x:c r="C26" s="3" t="s">
        <x:v>164</x:v>
      </x:c>
      <x:c r="D26" s="4">
        <x:v>528000</x:v>
      </x:c>
      <x:c r="E26" s="4">
        <x:f>+D26*0.1</x:f>
        <x:v>52800</x:v>
      </x:c>
      <x:c r="F26" s="5">
        <x:f>+D26+E26</x:f>
        <x:v>580800</x:v>
      </x:c>
      <x:c r="G26" s="6"/>
      <x:c r="H26" s="301" t="s">
        <x:v>149</x:v>
      </x:c>
      <x:c r="I26" s="3" t="s">
        <x:v>952</x:v>
      </x:c>
      <x:c r="J26" s="3" t="s">
        <x:v>28</x:v>
      </x:c>
      <x:c r="K26" s="4">
        <x:v>650400</x:v>
      </x:c>
      <x:c r="L26" s="4">
        <x:f>+K26*0.1</x:f>
        <x:v>65040</x:v>
      </x:c>
      <x:c r="M26" s="5">
        <x:f t="shared" ref="M26:M35" si="5">+K26+L26</x:f>
        <x:v>715440</x:v>
      </x:c>
      <x:c r="N26" s="6"/>
    </x:row>
    <x:row r="27" spans="1:14" ht="20.100000000000001" customHeight="1">
      <x:c r="A27" s="299"/>
      <x:c r="B27" s="3" t="s">
        <x:v>174</x:v>
      </x:c>
      <x:c r="C27" s="3" t="s">
        <x:v>941</x:v>
      </x:c>
      <x:c r="D27" s="4">
        <x:v>500000</x:v>
      </x:c>
      <x:c r="E27" s="4"/>
      <x:c r="F27" s="5">
        <x:f>+D27+E27</x:f>
        <x:v>500000</x:v>
      </x:c>
      <x:c r="G27" s="6"/>
      <x:c r="H27" s="299"/>
      <x:c r="I27" s="3" t="s">
        <x:v>959</x:v>
      </x:c>
      <x:c r="J27" s="3" t="s">
        <x:v>825</x:v>
      </x:c>
      <x:c r="K27" s="4">
        <x:v>1145000</x:v>
      </x:c>
      <x:c r="L27" s="4">
        <x:f>+K27*0.1</x:f>
        <x:v>114500</x:v>
      </x:c>
      <x:c r="M27" s="5">
        <x:f t="shared" si="5"/>
        <x:v>1259500</x:v>
      </x:c>
      <x:c r="N27" s="6"/>
    </x:row>
    <x:row r="28" spans="1:14" ht="20.100000000000001" customHeight="1">
      <x:c r="A28" s="299"/>
      <x:c r="B28" s="3" t="s">
        <x:v>947</x:v>
      </x:c>
      <x:c r="C28" s="3" t="s">
        <x:v>914</x:v>
      </x:c>
      <x:c r="D28" s="4">
        <x:v>130000</x:v>
      </x:c>
      <x:c r="E28" s="4">
        <x:f>+D28*0.1</x:f>
        <x:v>13000</x:v>
      </x:c>
      <x:c r="F28" s="5">
        <x:f>+D28+E28</x:f>
        <x:v>143000</x:v>
      </x:c>
      <x:c r="G28" s="6"/>
      <x:c r="H28" s="299"/>
      <x:c r="I28" s="3" t="s">
        <x:v>186</x:v>
      </x:c>
      <x:c r="J28" s="3" t="s">
        <x:v>941</x:v>
      </x:c>
      <x:c r="K28" s="4">
        <x:v>550000</x:v>
      </x:c>
      <x:c r="L28" s="4"/>
      <x:c r="M28" s="5">
        <x:f t="shared" si="5"/>
        <x:v>550000</x:v>
      </x:c>
      <x:c r="N28" s="6"/>
    </x:row>
    <x:row r="29" spans="1:14" ht="20.100000000000001" customHeight="1">
      <x:c r="A29" s="299"/>
      <x:c r="B29" s="3" t="s">
        <x:v>828</x:v>
      </x:c>
      <x:c r="C29" s="3" t="s">
        <x:v>167</x:v>
      </x:c>
      <x:c r="D29" s="4">
        <x:v>126000</x:v>
      </x:c>
      <x:c r="E29" s="4">
        <x:f>+D29*0.1</x:f>
        <x:v>12600</x:v>
      </x:c>
      <x:c r="F29" s="5">
        <x:f>+D29+E29</x:f>
        <x:v>138600</x:v>
      </x:c>
      <x:c r="G29" s="6"/>
      <x:c r="H29" s="299"/>
      <x:c r="I29" s="3" t="s">
        <x:v>923</x:v>
      </x:c>
      <x:c r="J29" s="3" t="s">
        <x:v>896</x:v>
      </x:c>
      <x:c r="K29" s="4">
        <x:v>300000</x:v>
      </x:c>
      <x:c r="L29" s="4">
        <x:f>+K29*0.1</x:f>
        <x:v>30000</x:v>
      </x:c>
      <x:c r="M29" s="5">
        <x:f t="shared" si="5"/>
        <x:v>330000</x:v>
      </x:c>
      <x:c r="N29" s="6" t="s">
        <x:v>192</x:v>
      </x:c>
    </x:row>
    <x:row r="30" spans="1:14" ht="20.100000000000001" customHeight="1">
      <x:c r="A30" s="299"/>
      <x:c r="B30" s="3" t="s">
        <x:v>169</x:v>
      </x:c>
      <x:c r="C30" s="3" t="s">
        <x:v>837</x:v>
      </x:c>
      <x:c r="D30" s="4">
        <x:v>1616920</x:v>
      </x:c>
      <x:c r="E30" s="4">
        <x:v>7000</x:v>
      </x:c>
      <x:c r="F30" s="5">
        <x:f t="shared" ref="F30:F35" si="6">+D30+E30</x:f>
        <x:v>1623920</x:v>
      </x:c>
      <x:c r="G30" s="6"/>
      <x:c r="H30" s="299"/>
      <x:c r="I30" s="3" t="s">
        <x:v>1680</x:v>
      </x:c>
      <x:c r="J30" s="3" t="s">
        <x:v>1695</x:v>
      </x:c>
      <x:c r="K30" s="4">
        <x:v>130000</x:v>
      </x:c>
      <x:c r="L30" s="4">
        <x:f>+K30*0.1</x:f>
        <x:v>13000</x:v>
      </x:c>
      <x:c r="M30" s="5">
        <x:f t="shared" si="5"/>
        <x:v>143000</x:v>
      </x:c>
      <x:c r="N30" s="6"/>
    </x:row>
    <x:row r="31" spans="1:14" ht="20.100000000000001" customHeight="1">
      <x:c r="A31" s="299"/>
      <x:c r="B31" s="3"/>
      <x:c r="C31" s="3"/>
      <x:c r="D31" s="4"/>
      <x:c r="E31" s="4"/>
      <x:c r="F31" s="5">
        <x:f t="shared" si="6"/>
        <x:v>0</x:v>
      </x:c>
      <x:c r="G31" s="6"/>
      <x:c r="H31" s="299"/>
      <x:c r="I31" s="3" t="s">
        <x:v>185</x:v>
      </x:c>
      <x:c r="J31" s="3" t="s">
        <x:v>149</x:v>
      </x:c>
      <x:c r="K31" s="4">
        <x:v>784990</x:v>
      </x:c>
      <x:c r="L31" s="4">
        <x:v>7000</x:v>
      </x:c>
      <x:c r="M31" s="5">
        <x:f t="shared" si="5"/>
        <x:v>791990</x:v>
      </x:c>
      <x:c r="N31" s="6"/>
    </x:row>
    <x:row r="32" spans="1:14" ht="20.100000000000001" customHeight="1">
      <x:c r="A32" s="299"/>
      <x:c r="B32" s="3"/>
      <x:c r="C32" s="3"/>
      <x:c r="D32" s="4"/>
      <x:c r="E32" s="4"/>
      <x:c r="F32" s="5">
        <x:f t="shared" si="6"/>
        <x:v>0</x:v>
      </x:c>
      <x:c r="G32" s="6"/>
      <x:c r="H32" s="299"/>
      <x:c r="I32" s="3" t="s">
        <x:v>1699</x:v>
      </x:c>
      <x:c r="J32" s="3" t="s">
        <x:v>167</x:v>
      </x:c>
      <x:c r="K32" s="4">
        <x:v>98000</x:v>
      </x:c>
      <x:c r="L32" s="4">
        <x:f>+K32*0.1</x:f>
        <x:v>9800</x:v>
      </x:c>
      <x:c r="M32" s="5">
        <x:f t="shared" si="5"/>
        <x:v>107800</x:v>
      </x:c>
      <x:c r="N32" s="6"/>
    </x:row>
    <x:row r="33" spans="1:14" ht="20.100000000000001" customHeight="1">
      <x:c r="A33" s="299"/>
      <x:c r="B33" s="3"/>
      <x:c r="C33" s="3"/>
      <x:c r="D33" s="4"/>
      <x:c r="E33" s="4"/>
      <x:c r="F33" s="5">
        <x:f t="shared" si="6"/>
        <x:v>0</x:v>
      </x:c>
      <x:c r="G33" s="6"/>
      <x:c r="H33" s="299"/>
      <x:c r="I33" s="3" t="s">
        <x:v>994</x:v>
      </x:c>
      <x:c r="J33" s="3" t="s">
        <x:v>8</x:v>
      </x:c>
      <x:c r="K33" s="4">
        <x:v>424546</x:v>
      </x:c>
      <x:c r="L33" s="4">
        <x:f>+K33*0.1-1</x:f>
        <x:v>42453.600000000006</x:v>
      </x:c>
      <x:c r="M33" s="5">
        <x:f t="shared" si="5"/>
        <x:v>466999.59999999998</x:v>
      </x:c>
      <x:c r="N33" s="6" t="s">
        <x:v>163</x:v>
      </x:c>
    </x:row>
    <x:row r="34" spans="1:14" ht="20.100000000000001" customHeight="1">
      <x:c r="A34" s="299"/>
      <x:c r="B34" s="3"/>
      <x:c r="C34" s="3"/>
      <x:c r="D34" s="4"/>
      <x:c r="E34" s="4"/>
      <x:c r="F34" s="5">
        <x:f t="shared" si="6"/>
        <x:v>0</x:v>
      </x:c>
      <x:c r="G34" s="6"/>
      <x:c r="H34" s="299"/>
      <x:c r="I34" s="3"/>
      <x:c r="J34" s="3"/>
      <x:c r="K34" s="4"/>
      <x:c r="L34" s="4">
        <x:f>+K34*0.1</x:f>
        <x:v>0</x:v>
      </x:c>
      <x:c r="M34" s="5">
        <x:f t="shared" si="5"/>
        <x:v>0</x:v>
      </x:c>
      <x:c r="N34" s="6"/>
    </x:row>
    <x:row r="35" spans="1:14" ht="20.100000000000001" customHeight="1">
      <x:c r="A35" s="300"/>
      <x:c r="B35" s="3"/>
      <x:c r="C35" s="3"/>
      <x:c r="D35" s="4"/>
      <x:c r="E35" s="4"/>
      <x:c r="F35" s="5">
        <x:f t="shared" si="6"/>
        <x:v>0</x:v>
      </x:c>
      <x:c r="G35" s="6"/>
      <x:c r="H35" s="300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7" t="s">
        <x:v>155</x:v>
      </x:c>
      <x:c r="B36" s="8"/>
      <x:c r="C36" s="8"/>
      <x:c r="D36" s="9">
        <x:f>SUM(D26:D35)</x:f>
        <x:v>2900920</x:v>
      </x:c>
      <x:c r="E36" s="9">
        <x:f>SUM(E26:E35)</x:f>
        <x:v>85400</x:v>
      </x:c>
      <x:c r="F36" s="10">
        <x:f>SUM(F26:F35)</x:f>
        <x:v>2986320</x:v>
      </x:c>
      <x:c r="G36" s="11"/>
      <x:c r="H36" s="7"/>
      <x:c r="I36" s="8"/>
      <x:c r="J36" s="8"/>
      <x:c r="K36" s="9">
        <x:f>SUM(K26:K35)</x:f>
        <x:v>4082936</x:v>
      </x:c>
      <x:c r="L36" s="9">
        <x:f>SUM(L26:L35)</x:f>
        <x:v>281793.59999999998</x:v>
      </x:c>
      <x:c r="M36" s="10">
        <x:f>SUM(M26:M35)</x:f>
        <x:v>4364729.5999999996</x:v>
      </x:c>
      <x:c r="N36" s="11"/>
    </x:row>
    <x:row r="37" spans="1:14" ht="20.100000000000001" customHeight="1">
      <x:c r="A37" s="12" t="s">
        <x:v>1690</x:v>
      </x:c>
      <x:c r="B37" s="13"/>
      <x:c r="C37" s="13"/>
      <x:c r="D37" s="14">
        <x:f>+D15+D20+D25+D36</x:f>
        <x:v>70817956</x:v>
      </x:c>
      <x:c r="E37" s="14">
        <x:f>+E15+E20+E25+E36</x:f>
        <x:v>4653602</x:v>
      </x:c>
      <x:c r="F37" s="15">
        <x:f>+F15+F20+F25+F36</x:f>
        <x:v>75471558</x:v>
      </x:c>
      <x:c r="G37" s="16"/>
      <x:c r="H37" s="12"/>
      <x:c r="I37" s="13"/>
      <x:c r="J37" s="13"/>
      <x:c r="K37" s="14">
        <x:f>+K15+K20+K25+K36</x:f>
        <x:v>102532896</x:v>
      </x:c>
      <x:c r="L37" s="14">
        <x:f>+L15+L20+L25+L36</x:f>
        <x:v>6317289.5999999996</x:v>
      </x:c>
      <x:c r="M37" s="15">
        <x:f>+M15+M20+M25+M36</x:f>
        <x:v>108850185.59999999</x:v>
      </x:c>
      <x:c r="N37" s="16"/>
    </x:row>
    <x:row r="38" spans="1:14" ht="20.100000000000001" customHeight="1">
      <x:c r="A38" s="23" t="s">
        <x:v>35</x:v>
      </x:c>
      <x:c r="B38" s="24"/>
      <x:c r="C38" s="24"/>
      <x:c r="D38" s="25">
        <x:f>+D4-D37</x:f>
        <x:v>7452044</x:v>
      </x:c>
      <x:c r="E38" s="25">
        <x:f>+E4-E37</x:f>
        <x:v>-923602</x:v>
      </x:c>
      <x:c r="F38" s="26">
        <x:f>+F4-F37</x:f>
        <x:v>6528442</x:v>
      </x:c>
      <x:c r="G38" s="27"/>
      <x:c r="H38" s="23"/>
      <x:c r="I38" s="24"/>
      <x:c r="J38" s="24"/>
      <x:c r="K38" s="25">
        <x:f>+K4-K37</x:f>
        <x:v>7467104</x:v>
      </x:c>
      <x:c r="L38" s="25">
        <x:f>+L4-L37</x:f>
        <x:v>-6317289.5999999996</x:v>
      </x:c>
      <x:c r="M38" s="26">
        <x:f>+M4-M37</x:f>
        <x:v>1149814.400000006</x:v>
      </x:c>
      <x:c r="N38" s="27"/>
    </x:row>
    <x:row r="39" spans="1:14" ht="20.100000000000001" customHeight="1">
      <x:c r="A39" s="296" t="s">
        <x:v>871</x:v>
      </x:c>
      <x:c r="B39" s="297"/>
      <x:c r="C39" s="297"/>
      <x:c r="D39" s="297"/>
      <x:c r="E39" s="297"/>
      <x:c r="F39" s="297"/>
      <x:c r="G39" s="297"/>
      <x:c r="H39" s="302" t="s">
        <x:v>58</x:v>
      </x:c>
      <x:c r="I39" s="303"/>
      <x:c r="J39" s="303"/>
      <x:c r="K39" s="303"/>
      <x:c r="L39" s="303"/>
      <x:c r="M39" s="304"/>
      <x:c r="N39" s="305"/>
    </x:row>
    <x:row r="40" spans="1:14" ht="20.100000000000001" customHeight="1">
      <x:c r="A40" s="29" t="s">
        <x:v>147</x:v>
      </x:c>
      <x:c r="B40" s="30" t="s">
        <x:v>144</x:v>
      </x:c>
      <x:c r="C40" s="30" t="s">
        <x:v>150</x:v>
      </x:c>
      <x:c r="D40" s="31" t="s">
        <x:v>145</x:v>
      </x:c>
      <x:c r="E40" s="31" t="s">
        <x:v>152</x:v>
      </x:c>
      <x:c r="F40" s="32" t="s">
        <x:v>146</x:v>
      </x:c>
      <x:c r="G40" s="33" t="s">
        <x:v>154</x:v>
      </x:c>
      <x:c r="H40" s="29" t="s">
        <x:v>147</x:v>
      </x:c>
      <x:c r="I40" s="30" t="s">
        <x:v>144</x:v>
      </x:c>
      <x:c r="J40" s="30" t="s">
        <x:v>150</x:v>
      </x:c>
      <x:c r="K40" s="31" t="s">
        <x:v>145</x:v>
      </x:c>
      <x:c r="L40" s="31" t="s">
        <x:v>152</x:v>
      </x:c>
      <x:c r="M40" s="31" t="s">
        <x:v>146</x:v>
      </x:c>
      <x:c r="N40" s="34" t="s">
        <x:v>154</x:v>
      </x:c>
    </x:row>
    <x:row r="41" spans="1:14" ht="20.100000000000001" customHeight="1">
      <x:c r="A41" s="53" t="s">
        <x:v>151</x:v>
      </x:c>
      <x:c r="B41" s="38" t="s">
        <x:v>1679</x:v>
      </x:c>
      <x:c r="C41" s="38" t="s">
        <x:v>56</x:v>
      </x:c>
      <x:c r="D41" s="39">
        <x:v>10000000</x:v>
      </x:c>
      <x:c r="E41" s="39">
        <x:v>739420</x:v>
      </x:c>
      <x:c r="F41" s="40">
        <x:f>+D41+E41</x:f>
        <x:v>10739420</x:v>
      </x:c>
      <x:c r="G41" s="18"/>
      <x:c r="H41" s="41" t="s">
        <x:v>151</x:v>
      </x:c>
      <x:c r="I41" s="38" t="s">
        <x:v>1679</x:v>
      </x:c>
      <x:c r="J41" s="38" t="s">
        <x:v>1678</x:v>
      </x:c>
      <x:c r="K41" s="39">
        <x:v>12855000</x:v>
      </x:c>
      <x:c r="L41" s="39">
        <x:v>145000</x:v>
      </x:c>
      <x:c r="M41" s="40">
        <x:f>+K41+L41</x:f>
        <x:v>13000000</x:v>
      </x:c>
      <x:c r="N41" s="42"/>
    </x:row>
    <x:row r="42" spans="1:14" ht="20.100000000000001" customHeight="1">
      <x:c r="A42" s="298" t="s">
        <x:v>148</x:v>
      </x:c>
      <x:c r="B42" s="19" t="s">
        <x:v>838</x:v>
      </x:c>
      <x:c r="C42" s="19"/>
      <x:c r="D42" s="20"/>
      <x:c r="E42" s="20">
        <x:f>+INT(D42*0.1)</x:f>
        <x:v>0</x:v>
      </x:c>
      <x:c r="F42" s="21">
        <x:f>+D42+E42</x:f>
        <x:v>0</x:v>
      </x:c>
      <x:c r="G42" s="22"/>
      <x:c r="H42" s="298" t="s">
        <x:v>148</x:v>
      </x:c>
      <x:c r="I42" s="19" t="s">
        <x:v>838</x:v>
      </x:c>
      <x:c r="J42" s="19" t="s">
        <x:v>932</x:v>
      </x:c>
      <x:c r="K42" s="20">
        <x:v>31000</x:v>
      </x:c>
      <x:c r="L42" s="20">
        <x:f>+K42*0.1</x:f>
        <x:v>3100</x:v>
      </x:c>
      <x:c r="M42" s="21">
        <x:f t="shared" ref="M42:M56" si="7">+K42+L42</x:f>
        <x:v>34100</x:v>
      </x:c>
      <x:c r="N42" s="22"/>
    </x:row>
    <x:row r="43" spans="1:14" ht="20.100000000000001" customHeight="1">
      <x:c r="A43" s="299"/>
      <x:c r="B43" s="3" t="s">
        <x:v>21</x:v>
      </x:c>
      <x:c r="C43" s="3" t="s">
        <x:v>616</x:v>
      </x:c>
      <x:c r="D43" s="4">
        <x:v>1303660</x:v>
      </x:c>
      <x:c r="E43" s="4">
        <x:f t="shared" ref="E43:E55" si="8">+INT(D43*0.1)</x:f>
        <x:v>130366</x:v>
      </x:c>
      <x:c r="F43" s="5">
        <x:f>+D43+E43</x:f>
        <x:v>1434026</x:v>
      </x:c>
      <x:c r="G43" s="6"/>
      <x:c r="H43" s="299"/>
      <x:c r="I43" s="3" t="s">
        <x:v>21</x:v>
      </x:c>
      <x:c r="J43" s="3" t="s">
        <x:v>1691</x:v>
      </x:c>
      <x:c r="K43" s="4">
        <x:v>447000</x:v>
      </x:c>
      <x:c r="L43" s="4">
        <x:f>+K43*0.1</x:f>
        <x:v>44700</x:v>
      </x:c>
      <x:c r="M43" s="5">
        <x:f t="shared" si="7"/>
        <x:v>491700</x:v>
      </x:c>
      <x:c r="N43" s="6"/>
    </x:row>
    <x:row r="44" spans="1:14" ht="20.100000000000001" customHeight="1">
      <x:c r="A44" s="299"/>
      <x:c r="B44" s="3" t="s">
        <x:v>34</x:v>
      </x:c>
      <x:c r="C44" s="3"/>
      <x:c r="D44" s="4"/>
      <x:c r="E44" s="4">
        <x:f t="shared" si="8"/>
        <x:v>0</x:v>
      </x:c>
      <x:c r="F44" s="5">
        <x:f>+D44+E44</x:f>
        <x:v>0</x:v>
      </x:c>
      <x:c r="G44" s="6"/>
      <x:c r="H44" s="299"/>
      <x:c r="I44" s="3" t="s">
        <x:v>34</x:v>
      </x:c>
      <x:c r="J44" s="3" t="s">
        <x:v>325</x:v>
      </x:c>
      <x:c r="K44" s="4">
        <x:v>255200</x:v>
      </x:c>
      <x:c r="L44" s="4">
        <x:f t="shared" ref="L44:L56" si="9">+K44*0.1</x:f>
        <x:v>25520</x:v>
      </x:c>
      <x:c r="M44" s="5">
        <x:f t="shared" si="7"/>
        <x:v>280720</x:v>
      </x:c>
      <x:c r="N44" s="6"/>
    </x:row>
    <x:row r="45" spans="1:14" ht="20.100000000000001" customHeight="1">
      <x:c r="A45" s="299"/>
      <x:c r="B45" s="3" t="s">
        <x:v>840</x:v>
      </x:c>
      <x:c r="C45" s="3"/>
      <x:c r="D45" s="4"/>
      <x:c r="E45" s="4">
        <x:f t="shared" si="8"/>
        <x:v>0</x:v>
      </x:c>
      <x:c r="F45" s="5">
        <x:f>+D45+E45</x:f>
        <x:v>0</x:v>
      </x:c>
      <x:c r="G45" s="6"/>
      <x:c r="H45" s="299"/>
      <x:c r="I45" s="3" t="s">
        <x:v>840</x:v>
      </x:c>
      <x:c r="J45" s="3"/>
      <x:c r="K45" s="4"/>
      <x:c r="L45" s="4">
        <x:f t="shared" si="9"/>
        <x:v>0</x:v>
      </x:c>
      <x:c r="M45" s="5">
        <x:f t="shared" si="7"/>
        <x:v>0</x:v>
      </x:c>
      <x:c r="N45" s="6"/>
    </x:row>
    <x:row r="46" spans="1:14" ht="20.100000000000001" customHeight="1">
      <x:c r="A46" s="299"/>
      <x:c r="B46" s="3" t="s">
        <x:v>892</x:v>
      </x:c>
      <x:c r="C46" s="3" t="s">
        <x:v>998</x:v>
      </x:c>
      <x:c r="D46" s="4">
        <x:v>597100</x:v>
      </x:c>
      <x:c r="E46" s="4">
        <x:f t="shared" si="8"/>
        <x:v>59710</x:v>
      </x:c>
      <x:c r="F46" s="5">
        <x:f t="shared" ref="F46:F55" si="10">+D46+E46</x:f>
        <x:v>656810</x:v>
      </x:c>
      <x:c r="G46" s="6"/>
      <x:c r="H46" s="299"/>
      <x:c r="I46" s="3" t="s">
        <x:v>846</x:v>
      </x:c>
      <x:c r="J46" s="3" t="s">
        <x:v>932</x:v>
      </x:c>
      <x:c r="K46" s="4">
        <x:v>204500</x:v>
      </x:c>
      <x:c r="L46" s="4">
        <x:f t="shared" si="9"/>
        <x:v>20450</x:v>
      </x:c>
      <x:c r="M46" s="5">
        <x:f t="shared" si="7"/>
        <x:v>224950</x:v>
      </x:c>
      <x:c r="N46" s="6"/>
    </x:row>
    <x:row r="47" spans="1:14" ht="20.100000000000001" customHeight="1">
      <x:c r="A47" s="299"/>
      <x:c r="B47" s="3" t="s">
        <x:v>846</x:v>
      </x:c>
      <x:c r="C47" s="3" t="s">
        <x:v>7</x:v>
      </x:c>
      <x:c r="D47" s="4">
        <x:v>1586550</x:v>
      </x:c>
      <x:c r="E47" s="4">
        <x:f t="shared" si="8"/>
        <x:v>158655</x:v>
      </x:c>
      <x:c r="F47" s="5">
        <x:f t="shared" si="10"/>
        <x:v>1745205</x:v>
      </x:c>
      <x:c r="G47" s="6"/>
      <x:c r="H47" s="299"/>
      <x:c r="I47" s="3"/>
      <x:c r="J47" s="3"/>
      <x:c r="K47" s="4"/>
      <x:c r="L47" s="4">
        <x:f t="shared" si="9"/>
        <x:v>0</x:v>
      </x:c>
      <x:c r="M47" s="5">
        <x:f t="shared" si="7"/>
        <x:v>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 t="shared" si="8"/>
        <x:v>0</x:v>
      </x:c>
      <x:c r="F48" s="5">
        <x:f t="shared" si="10"/>
        <x:v>0</x:v>
      </x:c>
      <x:c r="G48" s="6"/>
      <x:c r="H48" s="299"/>
      <x:c r="I48" s="3"/>
      <x:c r="J48" s="3"/>
      <x:c r="K48" s="4"/>
      <x:c r="L48" s="4">
        <x:f t="shared" si="9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8"/>
        <x:v>0</x:v>
      </x:c>
      <x:c r="F49" s="5">
        <x:f t="shared" si="10"/>
        <x:v>0</x:v>
      </x:c>
      <x:c r="G49" s="6"/>
      <x:c r="H49" s="299"/>
      <x:c r="I49" s="3"/>
      <x:c r="J49" s="3"/>
      <x:c r="K49" s="4"/>
      <x:c r="L49" s="4">
        <x:f t="shared" si="9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8"/>
        <x:v>0</x:v>
      </x:c>
      <x:c r="F50" s="5">
        <x:f t="shared" si="10"/>
        <x:v>0</x:v>
      </x:c>
      <x:c r="G50" s="6"/>
      <x:c r="H50" s="299"/>
      <x:c r="I50" s="3"/>
      <x:c r="J50" s="3"/>
      <x:c r="K50" s="4"/>
      <x:c r="L50" s="4">
        <x:f t="shared" si="9"/>
        <x:v>0</x:v>
      </x:c>
      <x:c r="M50" s="5">
        <x:f t="shared" si="7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8"/>
        <x:v>0</x:v>
      </x:c>
      <x:c r="F51" s="5">
        <x:f t="shared" si="10"/>
        <x:v>0</x:v>
      </x:c>
      <x:c r="G51" s="6"/>
      <x:c r="H51" s="299"/>
      <x:c r="I51" s="3"/>
      <x:c r="J51" s="3"/>
      <x:c r="K51" s="4"/>
      <x:c r="L51" s="4">
        <x:f t="shared" si="9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8"/>
        <x:v>0</x:v>
      </x:c>
      <x:c r="F52" s="5">
        <x:f t="shared" si="10"/>
        <x:v>0</x:v>
      </x:c>
      <x:c r="G52" s="6"/>
      <x:c r="H52" s="299"/>
      <x:c r="I52" s="3"/>
      <x:c r="J52" s="3"/>
      <x:c r="K52" s="4"/>
      <x:c r="L52" s="4">
        <x:f t="shared" si="9"/>
        <x:v>0</x:v>
      </x:c>
      <x:c r="M52" s="5">
        <x:f t="shared" si="7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8"/>
        <x:v>0</x:v>
      </x:c>
      <x:c r="F53" s="5">
        <x:f t="shared" si="10"/>
        <x:v>0</x:v>
      </x:c>
      <x:c r="G53" s="6"/>
      <x:c r="H53" s="299"/>
      <x:c r="I53" s="3"/>
      <x:c r="J53" s="3"/>
      <x:c r="K53" s="4"/>
      <x:c r="L53" s="4">
        <x:f t="shared" si="9"/>
        <x:v>0</x:v>
      </x:c>
      <x:c r="M53" s="5">
        <x:f t="shared" si="7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8"/>
        <x:v>0</x:v>
      </x:c>
      <x:c r="F54" s="5">
        <x:f t="shared" si="10"/>
        <x:v>0</x:v>
      </x:c>
      <x:c r="G54" s="6"/>
      <x:c r="H54" s="299"/>
      <x:c r="I54" s="3"/>
      <x:c r="J54" s="3"/>
      <x:c r="K54" s="4"/>
      <x:c r="L54" s="4">
        <x:f t="shared" si="9"/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8"/>
        <x:v>0</x:v>
      </x:c>
      <x:c r="F55" s="5">
        <x:f t="shared" si="10"/>
        <x:v>0</x:v>
      </x:c>
      <x:c r="G55" s="6"/>
      <x:c r="H55" s="299"/>
      <x:c r="I55" s="3"/>
      <x:c r="J55" s="3"/>
      <x:c r="K55" s="4"/>
      <x:c r="L55" s="4">
        <x:f t="shared" si="9"/>
        <x:v>0</x:v>
      </x:c>
      <x:c r="M55" s="5">
        <x:f t="shared" si="7"/>
        <x:v>0</x:v>
      </x:c>
      <x:c r="N55" s="6"/>
    </x:row>
    <x:row r="56" spans="1:14" ht="20.100000000000001" customHeight="1">
      <x:c r="A56" s="300"/>
      <x:c r="B56" s="3"/>
      <x:c r="C56" s="3"/>
      <x:c r="D56" s="4"/>
      <x:c r="E56" s="4"/>
      <x:c r="F56" s="5"/>
      <x:c r="G56" s="6"/>
      <x:c r="H56" s="300"/>
      <x:c r="I56" s="3"/>
      <x:c r="J56" s="3"/>
      <x:c r="K56" s="4"/>
      <x:c r="L56" s="4">
        <x:f t="shared" si="9"/>
        <x:v>0</x:v>
      </x:c>
      <x:c r="M56" s="5">
        <x:f t="shared" si="7"/>
        <x:v>0</x:v>
      </x:c>
      <x:c r="N56" s="6"/>
    </x:row>
    <x:row r="57" spans="1:14" ht="20.100000000000001" customHeight="1">
      <x:c r="A57" s="7" t="s">
        <x:v>155</x:v>
      </x:c>
      <x:c r="B57" s="8"/>
      <x:c r="C57" s="8"/>
      <x:c r="D57" s="9">
        <x:f>SUM(D42:D56)</x:f>
        <x:v>3487310</x:v>
      </x:c>
      <x:c r="E57" s="9">
        <x:f>SUM(E42:E56)</x:f>
        <x:v>348731</x:v>
      </x:c>
      <x:c r="F57" s="10">
        <x:f>SUM(F42:F56)</x:f>
        <x:v>3836041</x:v>
      </x:c>
      <x:c r="G57" s="11"/>
      <x:c r="H57" s="7"/>
      <x:c r="I57" s="8"/>
      <x:c r="J57" s="8"/>
      <x:c r="K57" s="9">
        <x:f>SUM(K42:K56)</x:f>
        <x:v>937700</x:v>
      </x:c>
      <x:c r="L57" s="9">
        <x:f>SUM(L42:L56)</x:f>
        <x:v>93770</x:v>
      </x:c>
      <x:c r="M57" s="10">
        <x:f>SUM(M42:M56)</x:f>
        <x:v>1031470</x:v>
      </x:c>
      <x:c r="N57" s="11"/>
    </x:row>
    <x:row r="58" spans="1:14" ht="20.100000000000001" customHeight="1">
      <x:c r="A58" s="301" t="s">
        <x:v>153</x:v>
      </x:c>
      <x:c r="B58" s="3" t="s">
        <x:v>1677</x:v>
      </x:c>
      <x:c r="C58" s="3"/>
      <x:c r="D58" s="44">
        <x:v>10975000</x:v>
      </x:c>
      <x:c r="E58" s="44"/>
      <x:c r="F58" s="45">
        <x:f>+D58+E58</x:f>
        <x:v>10975000</x:v>
      </x:c>
      <x:c r="G58" s="37"/>
      <x:c r="H58" s="301" t="s">
        <x:v>153</x:v>
      </x:c>
      <x:c r="I58" s="3" t="s">
        <x:v>1677</x:v>
      </x:c>
      <x:c r="J58" s="3"/>
      <x:c r="K58" s="4">
        <x:v>9540000</x:v>
      </x:c>
      <x:c r="L58" s="4"/>
      <x:c r="M58" s="5">
        <x:f>+K58+L58</x:f>
        <x:v>9540000</x:v>
      </x:c>
      <x:c r="N58" s="6"/>
    </x:row>
    <x:row r="59" spans="1:14" ht="20.100000000000001" customHeight="1">
      <x:c r="A59" s="299"/>
      <x:c r="B59" s="3"/>
      <x:c r="C59" s="3"/>
      <x:c r="D59" s="44"/>
      <x:c r="E59" s="44">
        <x:f>+D59*0.1</x:f>
        <x:v>0</x:v>
      </x:c>
      <x:c r="F59" s="45">
        <x:f>+D59+E59</x:f>
        <x:v>0</x:v>
      </x:c>
      <x:c r="G59" s="37"/>
      <x:c r="H59" s="299"/>
      <x:c r="I59" s="3"/>
      <x:c r="J59" s="3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>+D60*0.1</x:f>
        <x:v>0</x:v>
      </x:c>
      <x:c r="F60" s="5">
        <x:f>+D60+E60</x:f>
        <x:v>0</x:v>
      </x:c>
      <x:c r="G60" s="6"/>
      <x:c r="H60" s="299"/>
      <x:c r="I60" s="3"/>
      <x:c r="J60" s="3"/>
      <x:c r="K60" s="4"/>
      <x:c r="L60" s="4">
        <x:f>+K60*0.1</x:f>
        <x:v>0</x:v>
      </x:c>
      <x:c r="M60" s="5">
        <x:f>+K60+L60</x:f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6"/>
      <x:c r="H61" s="300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SUM(D58:D61)</x:f>
        <x:v>10975000</x:v>
      </x:c>
      <x:c r="E62" s="9">
        <x:f>SUM(E58:E61)</x:f>
        <x:v>0</x:v>
      </x:c>
      <x:c r="F62" s="10">
        <x:f>SUM(F58:F61)</x:f>
        <x:v>10975000</x:v>
      </x:c>
      <x:c r="G62" s="11"/>
      <x:c r="H62" s="7"/>
      <x:c r="I62" s="8"/>
      <x:c r="J62" s="8"/>
      <x:c r="K62" s="9">
        <x:f>SUM(K58:K61)</x:f>
        <x:v>9540000</x:v>
      </x:c>
      <x:c r="L62" s="9">
        <x:f>SUM(L58:L61)</x:f>
        <x:v>0</x:v>
      </x:c>
      <x:c r="M62" s="10">
        <x:f>SUM(M58:M61)</x:f>
        <x:v>9540000</x:v>
      </x:c>
      <x:c r="N62" s="11"/>
    </x:row>
    <x:row r="63" spans="1:14" ht="20.100000000000001" customHeight="1">
      <x:c r="A63" s="301" t="s">
        <x:v>187</x:v>
      </x:c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1" t="s">
        <x:v>187</x:v>
      </x:c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299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0</x:v>
      </x:c>
      <x:c r="E67" s="9">
        <x:f>SUM(E63:E66)</x:f>
        <x:v>0</x:v>
      </x:c>
      <x:c r="F67" s="10">
        <x:f>SUM(F63:F66)</x:f>
        <x:v>0</x:v>
      </x:c>
      <x:c r="G67" s="11"/>
      <x:c r="H67" s="7"/>
      <x:c r="I67" s="8"/>
      <x:c r="J67" s="8"/>
      <x:c r="K67" s="9">
        <x:f>SUM(K63:K66)</x:f>
        <x:v>0</x:v>
      </x:c>
      <x:c r="L67" s="9">
        <x:f>SUM(L63:L66)</x:f>
        <x:v>0</x:v>
      </x:c>
      <x:c r="M67" s="10">
        <x:f>SUM(M63:M66)</x:f>
        <x:v>0</x:v>
      </x:c>
      <x:c r="N67" s="11"/>
    </x:row>
    <x:row r="68" spans="1:14" ht="20.100000000000001" customHeight="1">
      <x:c r="A68" s="301" t="s">
        <x:v>149</x:v>
      </x:c>
      <x:c r="B68" s="3" t="s">
        <x:v>172</x:v>
      </x:c>
      <x:c r="C68" s="3" t="s">
        <x:v>66</x:v>
      </x:c>
      <x:c r="D68" s="4">
        <x:v>450000</x:v>
      </x:c>
      <x:c r="E68" s="4"/>
      <x:c r="F68" s="5">
        <x:f>+D68+E68</x:f>
        <x:v>450000</x:v>
      </x:c>
      <x:c r="G68" s="6"/>
      <x:c r="H68" s="301" t="s">
        <x:v>149</x:v>
      </x:c>
      <x:c r="I68" s="3" t="s">
        <x:v>177</x:v>
      </x:c>
      <x:c r="J68" s="3" t="s">
        <x:v>837</x:v>
      </x:c>
      <x:c r="K68" s="4">
        <x:v>633680</x:v>
      </x:c>
      <x:c r="L68" s="4"/>
      <x:c r="M68" s="5">
        <x:f t="shared" ref="M68:M75" si="11">+K68+L68</x:f>
        <x:v>633680</x:v>
      </x:c>
      <x:c r="N68" s="6"/>
    </x:row>
    <x:row r="69" spans="1:14" ht="20.100000000000001" customHeight="1">
      <x:c r="A69" s="299"/>
      <x:c r="B69" s="3" t="s">
        <x:v>177</x:v>
      </x:c>
      <x:c r="C69" s="3" t="s">
        <x:v>149</x:v>
      </x:c>
      <x:c r="D69" s="4">
        <x:v>450460</x:v>
      </x:c>
      <x:c r="E69" s="4"/>
      <x:c r="F69" s="5">
        <x:f>+D69+E69</x:f>
        <x:v>450460</x:v>
      </x:c>
      <x:c r="G69" s="6"/>
      <x:c r="H69" s="299"/>
      <x:c r="I69" s="3" t="s">
        <x:v>919</x:v>
      </x:c>
      <x:c r="J69" s="3" t="s">
        <x:v>914</x:v>
      </x:c>
      <x:c r="K69" s="4">
        <x:v>40000</x:v>
      </x:c>
      <x:c r="L69" s="4">
        <x:f>+K69*0.1</x:f>
        <x:v>4000</x:v>
      </x:c>
      <x:c r="M69" s="5">
        <x:f t="shared" si="11"/>
        <x:v>44000</x:v>
      </x:c>
      <x:c r="N69" s="6"/>
    </x:row>
    <x:row r="70" spans="1:14" ht="20.100000000000001" customHeight="1">
      <x:c r="A70" s="299"/>
      <x:c r="B70" s="3" t="s">
        <x:v>158</x:v>
      </x:c>
      <x:c r="C70" s="3" t="s">
        <x:v>149</x:v>
      </x:c>
      <x:c r="D70" s="4"/>
      <x:c r="E70" s="4"/>
      <x:c r="F70" s="5">
        <x:f>+D70+E70</x:f>
        <x:v>0</x:v>
      </x:c>
      <x:c r="G70" s="6"/>
      <x:c r="H70" s="299"/>
      <x:c r="I70" s="3" t="s">
        <x:v>926</x:v>
      </x:c>
      <x:c r="J70" s="3" t="s">
        <x:v>927</x:v>
      </x:c>
      <x:c r="K70" s="4">
        <x:v>367870</x:v>
      </x:c>
      <x:c r="L70" s="4"/>
      <x:c r="M70" s="5">
        <x:f t="shared" si="11"/>
        <x:v>367870</x:v>
      </x:c>
      <x:c r="N70" s="6"/>
    </x:row>
    <x:row r="71" spans="1:14" ht="20.100000000000001" customHeight="1">
      <x:c r="A71" s="299"/>
      <x:c r="B71" s="3" t="s">
        <x:v>924</x:v>
      </x:c>
      <x:c r="C71" s="3" t="s">
        <x:v>167</x:v>
      </x:c>
      <x:c r="D71" s="4">
        <x:v>30000</x:v>
      </x:c>
      <x:c r="E71" s="4">
        <x:f>+D71*0.1</x:f>
        <x:v>3000</x:v>
      </x:c>
      <x:c r="F71" s="5">
        <x:f t="shared" ref="F71:F77" si="12">+D71+E71</x:f>
        <x:v>33000</x:v>
      </x:c>
      <x:c r="G71" s="6"/>
      <x:c r="H71" s="299"/>
      <x:c r="I71" s="3" t="s">
        <x:v>945</x:v>
      </x:c>
      <x:c r="J71" s="3" t="s">
        <x:v>962</x:v>
      </x:c>
      <x:c r="K71" s="4">
        <x:v>234000</x:v>
      </x:c>
      <x:c r="L71" s="4">
        <x:f>+K71*0.1</x:f>
        <x:v>23400</x:v>
      </x:c>
      <x:c r="M71" s="5">
        <x:f t="shared" si="11"/>
        <x:v>257400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+D72*0.1</x:f>
        <x:v>10000</x:v>
      </x:c>
      <x:c r="F72" s="5">
        <x:f t="shared" si="12"/>
        <x:v>110000</x:v>
      </x:c>
      <x:c r="G72" s="6"/>
      <x:c r="H72" s="299"/>
      <x:c r="I72" s="3"/>
      <x:c r="J72" s="3"/>
      <x:c r="K72" s="4"/>
      <x:c r="L72" s="4">
        <x:f>+K72*0.1</x:f>
        <x:v>0</x:v>
      </x:c>
      <x:c r="M72" s="5">
        <x:f t="shared" si="11"/>
        <x:v>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220000</x:v>
      </x:c>
      <x:c r="E73" s="4">
        <x:f>+D73*0.1</x:f>
        <x:v>22000</x:v>
      </x:c>
      <x:c r="F73" s="5">
        <x:f t="shared" si="12"/>
        <x:v>242000</x:v>
      </x:c>
      <x:c r="G73" s="6"/>
      <x:c r="H73" s="299"/>
      <x:c r="I73" s="3"/>
      <x:c r="J73" s="3"/>
      <x:c r="K73" s="4"/>
      <x:c r="L73" s="4">
        <x:f>+K73*0.1</x:f>
        <x:v>0</x:v>
      </x:c>
      <x:c r="M73" s="5">
        <x:f t="shared" si="11"/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>
        <x:f>+D74*0.1</x:f>
        <x:v>0</x:v>
      </x:c>
      <x:c r="F74" s="5">
        <x:f t="shared" si="12"/>
        <x:v>0</x:v>
      </x:c>
      <x:c r="G74" s="6"/>
      <x:c r="H74" s="299"/>
      <x:c r="I74" s="3"/>
      <x:c r="J74" s="3"/>
      <x:c r="K74" s="4"/>
      <x:c r="L74" s="4">
        <x:f>+K74*0.1</x:f>
        <x:v>0</x:v>
      </x:c>
      <x:c r="M74" s="5">
        <x:f t="shared" si="11"/>
        <x:v>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2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1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2"/>
        <x:v>0</x:v>
      </x:c>
      <x:c r="G76" s="6"/>
      <x:c r="H76" s="299"/>
      <x:c r="I76" s="3"/>
      <x:c r="J76" s="3"/>
      <x:c r="K76" s="4"/>
      <x:c r="L76" s="4"/>
      <x:c r="M76" s="5"/>
      <x:c r="N76" s="6"/>
    </x:row>
    <x:row r="77" spans="1:14" ht="20.100000000000001" customHeight="1">
      <x:c r="A77" s="300"/>
      <x:c r="B77" s="3"/>
      <x:c r="C77" s="3"/>
      <x:c r="D77" s="4"/>
      <x:c r="E77" s="4"/>
      <x:c r="F77" s="5">
        <x:f t="shared" si="12"/>
        <x:v>0</x:v>
      </x:c>
      <x:c r="G77" s="6"/>
      <x:c r="H77" s="300"/>
      <x:c r="I77" s="3"/>
      <x:c r="J77" s="3"/>
      <x:c r="K77" s="4"/>
      <x:c r="L77" s="4">
        <x:f>+K77*0.1</x:f>
        <x:v>0</x:v>
      </x:c>
      <x:c r="M77" s="5">
        <x:f>+K77+L77</x:f>
        <x:v>0</x:v>
      </x:c>
      <x:c r="N77" s="6"/>
    </x:row>
    <x:row r="78" spans="1:14" ht="20.100000000000001" customHeight="1">
      <x:c r="A78" s="7" t="s">
        <x:v>155</x:v>
      </x:c>
      <x:c r="B78" s="8"/>
      <x:c r="C78" s="8"/>
      <x:c r="D78" s="9">
        <x:f>SUM(D68:D77)</x:f>
        <x:v>1250460</x:v>
      </x:c>
      <x:c r="E78" s="9">
        <x:f>SUM(E68:E77)</x:f>
        <x:v>35000</x:v>
      </x:c>
      <x:c r="F78" s="10">
        <x:f>SUM(F68:F77)</x:f>
        <x:v>1285460</x:v>
      </x:c>
      <x:c r="G78" s="11"/>
      <x:c r="H78" s="7"/>
      <x:c r="I78" s="8"/>
      <x:c r="J78" s="8"/>
      <x:c r="K78" s="9">
        <x:f>SUM(K68:K77)</x:f>
        <x:v>1275550</x:v>
      </x:c>
      <x:c r="L78" s="9">
        <x:f>SUM(L68:L77)</x:f>
        <x:v>27400</x:v>
      </x:c>
      <x:c r="M78" s="10">
        <x:f>SUM(M68:M77)</x:f>
        <x:v>1302950</x:v>
      </x:c>
      <x:c r="N78" s="11"/>
    </x:row>
    <x:row r="79" spans="1:14" ht="20.100000000000001" customHeight="1">
      <x:c r="A79" s="12" t="s">
        <x:v>1690</x:v>
      </x:c>
      <x:c r="B79" s="13"/>
      <x:c r="C79" s="13"/>
      <x:c r="D79" s="14">
        <x:f>+D57+D62+D67+D78</x:f>
        <x:v>15712770</x:v>
      </x:c>
      <x:c r="E79" s="14">
        <x:f>+E57+E62+E67+E78</x:f>
        <x:v>383731</x:v>
      </x:c>
      <x:c r="F79" s="15">
        <x:f>+F57+F62+F67+F78</x:f>
        <x:v>16096501</x:v>
      </x:c>
      <x:c r="G79" s="16"/>
      <x:c r="H79" s="12"/>
      <x:c r="I79" s="13"/>
      <x:c r="J79" s="13"/>
      <x:c r="K79" s="14">
        <x:f>+K57+K62+K67+K78</x:f>
        <x:v>11753250</x:v>
      </x:c>
      <x:c r="L79" s="14">
        <x:f>+L57+L62+L67+L78</x:f>
        <x:v>121170</x:v>
      </x:c>
      <x:c r="M79" s="15">
        <x:f>+M57+M62+M67+M78</x:f>
        <x:v>11874420</x:v>
      </x:c>
      <x:c r="N79" s="16"/>
    </x:row>
    <x:row r="80" spans="1:14" ht="20.100000000000001" customHeight="1">
      <x:c r="A80" s="23" t="s">
        <x:v>35</x:v>
      </x:c>
      <x:c r="B80" s="24"/>
      <x:c r="C80" s="24"/>
      <x:c r="D80" s="25">
        <x:f>+D41-D79</x:f>
        <x:v>-5712770</x:v>
      </x:c>
      <x:c r="E80" s="25">
        <x:f>+E41-E79</x:f>
        <x:v>355689</x:v>
      </x:c>
      <x:c r="F80" s="26">
        <x:f>+F41-F79</x:f>
        <x:v>-5357081</x:v>
      </x:c>
      <x:c r="G80" s="27"/>
      <x:c r="H80" s="23"/>
      <x:c r="I80" s="24"/>
      <x:c r="J80" s="24"/>
      <x:c r="K80" s="25">
        <x:f>+K41-K79</x:f>
        <x:v>1101750</x:v>
      </x:c>
      <x:c r="L80" s="25">
        <x:f>+L41-L79</x:f>
        <x:v>23830</x:v>
      </x:c>
      <x:c r="M80" s="26">
        <x:f>+M41-M79</x:f>
        <x:v>1125580</x:v>
      </x:c>
      <x:c r="N80" s="27"/>
    </x:row>
    <x:row r="81" spans="1:14" ht="20.100000000000001" customHeight="1">
      <x:c r="A81" s="302" t="s">
        <x:v>316</x:v>
      </x:c>
      <x:c r="B81" s="303"/>
      <x:c r="C81" s="303"/>
      <x:c r="D81" s="303"/>
      <x:c r="E81" s="303"/>
      <x:c r="F81" s="304"/>
      <x:c r="G81" s="305"/>
      <x:c r="H81" s="302" t="s">
        <x:v>86</x:v>
      </x:c>
      <x:c r="I81" s="303"/>
      <x:c r="J81" s="303"/>
      <x:c r="K81" s="303"/>
      <x:c r="L81" s="303"/>
      <x:c r="M81" s="304"/>
      <x:c r="N81" s="305"/>
    </x:row>
    <x:row r="82" spans="1:14" ht="20.100000000000001" customHeight="1">
      <x:c r="A82" s="29" t="s">
        <x:v>147</x:v>
      </x:c>
      <x:c r="B82" s="30" t="s">
        <x:v>144</x:v>
      </x:c>
      <x:c r="C82" s="30" t="s">
        <x:v>150</x:v>
      </x:c>
      <x:c r="D82" s="31" t="s">
        <x:v>145</x:v>
      </x:c>
      <x:c r="E82" s="31" t="s">
        <x:v>152</x:v>
      </x:c>
      <x:c r="F82" s="32" t="s">
        <x:v>146</x:v>
      </x:c>
      <x:c r="G82" s="33" t="s">
        <x:v>154</x:v>
      </x:c>
      <x:c r="H82" s="29" t="s">
        <x:v>147</x:v>
      </x:c>
      <x:c r="I82" s="30" t="s">
        <x:v>144</x:v>
      </x:c>
      <x:c r="J82" s="30" t="s">
        <x:v>150</x:v>
      </x:c>
      <x:c r="K82" s="31" t="s">
        <x:v>145</x:v>
      </x:c>
      <x:c r="L82" s="31" t="s">
        <x:v>152</x:v>
      </x:c>
      <x:c r="M82" s="31" t="s">
        <x:v>146</x:v>
      </x:c>
      <x:c r="N82" s="34" t="s">
        <x:v>154</x:v>
      </x:c>
    </x:row>
    <x:row r="83" spans="1:14" ht="20.100000000000001" customHeight="1">
      <x:c r="A83" s="53" t="s">
        <x:v>151</x:v>
      </x:c>
      <x:c r="B83" s="38" t="s">
        <x:v>1679</x:v>
      </x:c>
      <x:c r="C83" s="38" t="s">
        <x:v>906</x:v>
      </x:c>
      <x:c r="D83" s="39"/>
      <x:c r="E83" s="39">
        <x:f>+D83*0.1</x:f>
        <x:v>0</x:v>
      </x:c>
      <x:c r="F83" s="40">
        <x:f>+D83+E83</x:f>
        <x:v>0</x:v>
      </x:c>
      <x:c r="G83" s="18"/>
      <x:c r="H83" s="41" t="s">
        <x:v>151</x:v>
      </x:c>
      <x:c r="I83" s="38" t="s">
        <x:v>1679</x:v>
      </x:c>
      <x:c r="J83" s="38" t="s">
        <x:v>620</x:v>
      </x:c>
      <x:c r="K83" s="39"/>
      <x:c r="L83" s="39"/>
      <x:c r="M83" s="40">
        <x:f>+K83+L83</x:f>
        <x:v>0</x:v>
      </x:c>
      <x:c r="N83" s="42"/>
    </x:row>
    <x:row r="84" spans="1:14" ht="20.100000000000001" customHeight="1">
      <x:c r="A84" s="298" t="s">
        <x:v>148</x:v>
      </x:c>
      <x:c r="B84" s="19"/>
      <x:c r="C84" s="19"/>
      <x:c r="D84" s="20"/>
      <x:c r="E84" s="20">
        <x:f>+INT(D84*0.1)</x:f>
        <x:v>0</x:v>
      </x:c>
      <x:c r="F84" s="21">
        <x:f>+D84+E84</x:f>
        <x:v>0</x:v>
      </x:c>
      <x:c r="G84" s="22"/>
      <x:c r="H84" s="298" t="s">
        <x:v>148</x:v>
      </x:c>
      <x:c r="I84" s="19" t="s">
        <x:v>21</x:v>
      </x:c>
      <x:c r="J84" s="19" t="s">
        <x:v>1000</x:v>
      </x:c>
      <x:c r="K84" s="20">
        <x:v>41520</x:v>
      </x:c>
      <x:c r="L84" s="20">
        <x:f>+K84*0.1</x:f>
        <x:v>4152</x:v>
      </x:c>
      <x:c r="M84" s="21">
        <x:f t="shared" ref="M84:M98" si="13">+K84+L84</x:f>
        <x:v>45672</x:v>
      </x:c>
      <x:c r="N84" s="22"/>
    </x:row>
    <x:row r="85" spans="1:14" ht="20.100000000000001" customHeight="1">
      <x:c r="A85" s="299"/>
      <x:c r="B85" s="3"/>
      <x:c r="C85" s="3"/>
      <x:c r="D85" s="4"/>
      <x:c r="E85" s="4">
        <x:f t="shared" ref="E85:E97" si="14">+INT(D85*0.1)</x:f>
        <x:v>0</x:v>
      </x:c>
      <x:c r="F85" s="5">
        <x:f>+D85+E85</x:f>
        <x:v>0</x:v>
      </x:c>
      <x:c r="G85" s="6"/>
      <x:c r="H85" s="299"/>
      <x:c r="I85" s="3" t="s">
        <x:v>840</x:v>
      </x:c>
      <x:c r="J85" s="3" t="s">
        <x:v>1001</x:v>
      </x:c>
      <x:c r="K85" s="4">
        <x:v>155400</x:v>
      </x:c>
      <x:c r="L85" s="4">
        <x:f>+K85*0.1</x:f>
        <x:v>15540</x:v>
      </x:c>
      <x:c r="M85" s="5">
        <x:f t="shared" si="13"/>
        <x:v>170940</x:v>
      </x:c>
      <x:c r="N85" s="6"/>
    </x:row>
    <x:row r="86" spans="1:14" ht="20.100000000000001" customHeight="1">
      <x:c r="A86" s="299"/>
      <x:c r="B86" s="3"/>
      <x:c r="C86" s="3"/>
      <x:c r="D86" s="4"/>
      <x:c r="E86" s="4">
        <x:f t="shared" si="14"/>
        <x:v>0</x:v>
      </x:c>
      <x:c r="F86" s="5">
        <x:f>+D86+E86</x:f>
        <x:v>0</x:v>
      </x:c>
      <x:c r="G86" s="6"/>
      <x:c r="H86" s="299"/>
      <x:c r="I86" s="3" t="s">
        <x:v>846</x:v>
      </x:c>
      <x:c r="J86" s="3" t="s">
        <x:v>208</x:v>
      </x:c>
      <x:c r="K86" s="4">
        <x:v>75000</x:v>
      </x:c>
      <x:c r="L86" s="4">
        <x:f t="shared" ref="L86:L98" si="15">+K86*0.1</x:f>
        <x:v>7500</x:v>
      </x:c>
      <x:c r="M86" s="5">
        <x:f t="shared" si="13"/>
        <x:v>82500</x:v>
      </x:c>
      <x:c r="N86" s="6"/>
    </x:row>
    <x:row r="87" spans="1:14" ht="20.100000000000001" customHeight="1">
      <x:c r="A87" s="299"/>
      <x:c r="B87" s="3"/>
      <x:c r="C87" s="3"/>
      <x:c r="D87" s="4"/>
      <x:c r="E87" s="4">
        <x:f t="shared" si="14"/>
        <x:v>0</x:v>
      </x:c>
      <x:c r="F87" s="5">
        <x:f t="shared" ref="F87:F97" si="16">+D87+E87</x:f>
        <x:v>0</x:v>
      </x:c>
      <x:c r="G87" s="6"/>
      <x:c r="H87" s="299"/>
      <x:c r="I87" s="3"/>
      <x:c r="J87" s="3"/>
      <x:c r="K87" s="4"/>
      <x:c r="L87" s="4">
        <x:f t="shared" si="15"/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/>
      <x:c r="C88" s="3"/>
      <x:c r="D88" s="4"/>
      <x:c r="E88" s="4">
        <x:f t="shared" si="14"/>
        <x:v>0</x:v>
      </x:c>
      <x:c r="F88" s="5">
        <x:f t="shared" si="16"/>
        <x:v>0</x:v>
      </x:c>
      <x:c r="G88" s="6"/>
      <x:c r="H88" s="299"/>
      <x:c r="I88" s="3"/>
      <x:c r="J88" s="3"/>
      <x:c r="K88" s="4"/>
      <x:c r="L88" s="4">
        <x:f t="shared" si="15"/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/>
      <x:c r="C89" s="3"/>
      <x:c r="D89" s="4"/>
      <x:c r="E89" s="4">
        <x:f t="shared" si="14"/>
        <x:v>0</x:v>
      </x:c>
      <x:c r="F89" s="5">
        <x:f t="shared" si="16"/>
        <x:v>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/>
      <x:c r="C90" s="3"/>
      <x:c r="D90" s="4"/>
      <x:c r="E90" s="4">
        <x:f t="shared" si="14"/>
        <x:v>0</x:v>
      </x:c>
      <x:c r="F90" s="5">
        <x:f t="shared" si="16"/>
        <x:v>0</x:v>
      </x:c>
      <x:c r="G90" s="6"/>
      <x:c r="H90" s="299"/>
      <x:c r="I90" s="3"/>
      <x:c r="J90" s="3"/>
      <x:c r="K90" s="4"/>
      <x:c r="L90" s="4">
        <x:f t="shared" si="15"/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 t="shared" si="16"/>
        <x:v>0</x:v>
      </x:c>
      <x:c r="G91" s="6"/>
      <x:c r="H91" s="299"/>
      <x:c r="I91" s="3"/>
      <x:c r="J91" s="3"/>
      <x:c r="K91" s="4"/>
      <x:c r="L91" s="4">
        <x:f t="shared" si="15"/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si="16"/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300"/>
      <x:c r="B98" s="3"/>
      <x:c r="C98" s="3"/>
      <x:c r="D98" s="4"/>
      <x:c r="E98" s="4"/>
      <x:c r="F98" s="5"/>
      <x:c r="G98" s="6"/>
      <x:c r="H98" s="300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7" t="s">
        <x:v>155</x:v>
      </x:c>
      <x:c r="B99" s="8"/>
      <x:c r="C99" s="8"/>
      <x:c r="D99" s="9">
        <x:f>SUM(D84:D98)</x:f>
        <x:v>0</x:v>
      </x:c>
      <x:c r="E99" s="9">
        <x:f>SUM(E84:E98)</x:f>
        <x:v>0</x:v>
      </x:c>
      <x:c r="F99" s="10">
        <x:f>SUM(F84:F98)</x:f>
        <x:v>0</x:v>
      </x:c>
      <x:c r="G99" s="11"/>
      <x:c r="H99" s="7"/>
      <x:c r="I99" s="8"/>
      <x:c r="J99" s="8"/>
      <x:c r="K99" s="9">
        <x:f>SUM(K84:K98)</x:f>
        <x:v>271920</x:v>
      </x:c>
      <x:c r="L99" s="9">
        <x:f>SUM(L84:L98)</x:f>
        <x:v>27192</x:v>
      </x:c>
      <x:c r="M99" s="10">
        <x:f>SUM(M84:M98)</x:f>
        <x:v>299112</x:v>
      </x:c>
      <x:c r="N99" s="11"/>
    </x:row>
    <x:row r="100" spans="1:14" ht="20.100000000000001" customHeight="1">
      <x:c r="A100" s="301" t="s">
        <x:v>153</x:v>
      </x:c>
      <x:c r="B100" s="3"/>
      <x:c r="C100" s="3"/>
      <x:c r="D100" s="44"/>
      <x:c r="E100" s="44">
        <x:f>+D100*0.1</x:f>
        <x:v>0</x:v>
      </x:c>
      <x:c r="F100" s="45">
        <x:f>+D100+E100</x:f>
        <x:v>0</x:v>
      </x:c>
      <x:c r="G100" s="37"/>
      <x:c r="H100" s="301" t="s">
        <x:v>153</x:v>
      </x:c>
      <x:c r="I100" s="3"/>
      <x:c r="J100" s="3"/>
      <x:c r="K100" s="4"/>
      <x:c r="L100" s="4"/>
      <x:c r="M100" s="5">
        <x:f>+K100+L100</x:f>
        <x:v>0</x:v>
      </x:c>
      <x:c r="N100" s="6"/>
    </x:row>
    <x:row r="101" spans="1:14" ht="20.100000000000001" customHeight="1">
      <x:c r="A101" s="299"/>
      <x:c r="B101" s="3"/>
      <x:c r="C101" s="3"/>
      <x:c r="D101" s="44"/>
      <x:c r="E101" s="44">
        <x:f>+D101*0.1</x:f>
        <x:v>0</x:v>
      </x:c>
      <x:c r="F101" s="45">
        <x:f>+D101+E101</x:f>
        <x:v>0</x:v>
      </x:c>
      <x:c r="G101" s="37"/>
      <x:c r="H101" s="299"/>
      <x:c r="I101" s="3"/>
      <x:c r="J101" s="3"/>
      <x:c r="K101" s="4"/>
      <x:c r="L101" s="4">
        <x:f>+K101*0.1</x:f>
        <x:v>0</x:v>
      </x:c>
      <x:c r="M101" s="5">
        <x:f>+K101+L101</x:f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299"/>
      <x:c r="I102" s="3"/>
      <x:c r="J102" s="3"/>
      <x:c r="K102" s="4"/>
      <x:c r="L102" s="4">
        <x:f>+K102*0.1</x:f>
        <x:v>0</x:v>
      </x:c>
      <x:c r="M102" s="5">
        <x:f>+K102+L102</x:f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300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SUM(D100:D103)</x:f>
        <x:v>0</x:v>
      </x:c>
      <x:c r="E104" s="9">
        <x:f>SUM(E100:E103)</x:f>
        <x:v>0</x:v>
      </x:c>
      <x:c r="F104" s="10">
        <x:f>SUM(F100:F103)</x:f>
        <x:v>0</x:v>
      </x:c>
      <x:c r="G104" s="11"/>
      <x:c r="H104" s="7"/>
      <x:c r="I104" s="8"/>
      <x:c r="J104" s="8"/>
      <x:c r="K104" s="9">
        <x:f>SUM(K100:K103)</x:f>
        <x:v>0</x:v>
      </x:c>
      <x:c r="L104" s="9">
        <x:f>SUM(L100:L103)</x:f>
        <x:v>0</x:v>
      </x:c>
      <x:c r="M104" s="10">
        <x:f>SUM(M100:M103)</x:f>
        <x:v>0</x:v>
      </x:c>
      <x:c r="N104" s="11"/>
    </x:row>
    <x:row r="105" spans="1:14" ht="20.100000000000001" customHeight="1">
      <x:c r="A105" s="301" t="s">
        <x:v>187</x:v>
      </x:c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1" t="s">
        <x:v>187</x:v>
      </x:c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0</x:v>
      </x:c>
      <x:c r="E109" s="9">
        <x:f>SUM(E105:E108)</x:f>
        <x:v>0</x:v>
      </x:c>
      <x:c r="F109" s="10">
        <x:f>SUM(F105:F108)</x:f>
        <x:v>0</x:v>
      </x:c>
      <x:c r="G109" s="11"/>
      <x:c r="H109" s="7"/>
      <x:c r="I109" s="8"/>
      <x:c r="J109" s="8"/>
      <x:c r="K109" s="9">
        <x:f>SUM(K105:K108)</x:f>
        <x:v>0</x:v>
      </x:c>
      <x:c r="L109" s="9">
        <x:f>SUM(L105:L108)</x:f>
        <x:v>0</x:v>
      </x:c>
      <x:c r="M109" s="10">
        <x:f>SUM(M105:M108)</x:f>
        <x:v>0</x:v>
      </x:c>
      <x:c r="N109" s="11"/>
    </x:row>
    <x:row r="110" spans="1:14" ht="20.100000000000001" customHeight="1">
      <x:c r="A110" s="301" t="s">
        <x:v>149</x:v>
      </x:c>
      <x:c r="B110" s="3"/>
      <x:c r="C110" s="3"/>
      <x:c r="D110" s="4"/>
      <x:c r="E110" s="4"/>
      <x:c r="F110" s="5">
        <x:f>+D110+E110</x:f>
        <x:v>0</x:v>
      </x:c>
      <x:c r="G110" s="6"/>
      <x:c r="H110" s="301" t="s">
        <x:v>149</x:v>
      </x:c>
      <x:c r="I110" s="3" t="s">
        <x:v>158</x:v>
      </x:c>
      <x:c r="J110" s="3" t="s">
        <x:v>837</x:v>
      </x:c>
      <x:c r="K110" s="4">
        <x:v>355000</x:v>
      </x:c>
      <x:c r="L110" s="4"/>
      <x:c r="M110" s="5">
        <x:f t="shared" ref="M110:M117" si="17">+K110+L110</x:f>
        <x:v>355000</x:v>
      </x:c>
      <x:c r="N110" s="6"/>
    </x:row>
    <x:row r="111" spans="1:14" ht="20.100000000000001" customHeight="1">
      <x:c r="A111" s="299"/>
      <x:c r="B111" s="3"/>
      <x:c r="C111" s="3"/>
      <x:c r="D111" s="4"/>
      <x:c r="E111" s="4"/>
      <x:c r="F111" s="5">
        <x:f>+D111+E111</x:f>
        <x:v>0</x:v>
      </x:c>
      <x:c r="G111" s="6"/>
      <x:c r="H111" s="299"/>
      <x:c r="I111" s="3"/>
      <x:c r="J111" s="3"/>
      <x:c r="K111" s="4"/>
      <x:c r="L111" s="4">
        <x:f t="shared" ref="L111:L117" si="18">+K111*0.1</x:f>
        <x:v>0</x:v>
      </x:c>
      <x:c r="M111" s="5">
        <x:f t="shared" si="17"/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/>
      <x:c r="F112" s="5">
        <x:f>+D112+E112</x:f>
        <x:v>0</x:v>
      </x:c>
      <x:c r="G112" s="6"/>
      <x:c r="H112" s="299"/>
      <x:c r="I112" s="3"/>
      <x:c r="J112" s="3"/>
      <x:c r="K112" s="4"/>
      <x:c r="L112" s="4">
        <x:f t="shared" si="18"/>
        <x:v>0</x:v>
      </x:c>
      <x:c r="M112" s="5">
        <x:f t="shared" si="17"/>
        <x:v>0</x:v>
      </x:c>
      <x:c r="N112" s="6"/>
    </x:row>
    <x:row r="113" spans="1:14" ht="20.100000000000001" customHeight="1">
      <x:c r="A113" s="299"/>
      <x:c r="B113" s="3"/>
      <x:c r="C113" s="3"/>
      <x:c r="D113" s="4"/>
      <x:c r="E113" s="4"/>
      <x:c r="F113" s="5">
        <x:f t="shared" ref="F113:F119" si="19">+D113+E113</x:f>
        <x:v>0</x:v>
      </x:c>
      <x:c r="G113" s="6"/>
      <x:c r="H113" s="299"/>
      <x:c r="I113" s="3"/>
      <x:c r="J113" s="3"/>
      <x:c r="K113" s="4"/>
      <x:c r="L113" s="4"/>
      <x:c r="M113" s="5">
        <x:f t="shared" si="17"/>
        <x:v>0</x:v>
      </x:c>
      <x:c r="N113" s="6"/>
    </x:row>
    <x:row r="114" spans="1:14" ht="20.100000000000001" customHeight="1">
      <x:c r="A114" s="299"/>
      <x:c r="B114" s="3"/>
      <x:c r="C114" s="3"/>
      <x:c r="D114" s="4"/>
      <x:c r="E114" s="4"/>
      <x:c r="F114" s="5">
        <x:f t="shared" si="19"/>
        <x:v>0</x:v>
      </x:c>
      <x:c r="G114" s="6"/>
      <x:c r="H114" s="299"/>
      <x:c r="I114" s="3"/>
      <x:c r="J114" s="3"/>
      <x:c r="K114" s="4"/>
      <x:c r="L114" s="4">
        <x:f t="shared" si="18"/>
        <x:v>0</x:v>
      </x:c>
      <x:c r="M114" s="5">
        <x:f t="shared" si="17"/>
        <x:v>0</x:v>
      </x:c>
      <x:c r="N114" s="6"/>
    </x:row>
    <x:row r="115" spans="1:14" ht="20.100000000000001" customHeight="1">
      <x:c r="A115" s="299"/>
      <x:c r="B115" s="3"/>
      <x:c r="C115" s="3"/>
      <x:c r="D115" s="4"/>
      <x:c r="E115" s="4"/>
      <x:c r="F115" s="5">
        <x:f t="shared" si="19"/>
        <x:v>0</x:v>
      </x:c>
      <x:c r="G115" s="6"/>
      <x:c r="H115" s="299"/>
      <x:c r="I115" s="3"/>
      <x:c r="J115" s="3"/>
      <x:c r="K115" s="4"/>
      <x:c r="L115" s="4">
        <x:f t="shared" si="18"/>
        <x:v>0</x:v>
      </x:c>
      <x:c r="M115" s="5">
        <x:f t="shared" si="17"/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19"/>
        <x:v>0</x:v>
      </x:c>
      <x:c r="G116" s="6"/>
      <x:c r="H116" s="299"/>
      <x:c r="I116" s="3"/>
      <x:c r="J116" s="3"/>
      <x:c r="K116" s="4"/>
      <x:c r="L116" s="4">
        <x:f t="shared" si="18"/>
        <x:v>0</x:v>
      </x:c>
      <x:c r="M116" s="5">
        <x:f t="shared" si="17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 t="shared" si="19"/>
        <x:v>0</x:v>
      </x:c>
      <x:c r="G117" s="6"/>
      <x:c r="H117" s="299"/>
      <x:c r="I117" s="3"/>
      <x:c r="J117" s="3"/>
      <x:c r="K117" s="4"/>
      <x:c r="L117" s="4">
        <x:f t="shared" si="18"/>
        <x:v>0</x:v>
      </x:c>
      <x:c r="M117" s="5">
        <x:f t="shared" si="17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si="19"/>
        <x:v>0</x:v>
      </x:c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300"/>
      <x:c r="B119" s="3"/>
      <x:c r="C119" s="3"/>
      <x:c r="D119" s="4"/>
      <x:c r="E119" s="4"/>
      <x:c r="F119" s="5">
        <x:f t="shared" si="19"/>
        <x:v>0</x:v>
      </x:c>
      <x:c r="G119" s="6"/>
      <x:c r="H119" s="300"/>
      <x:c r="I119" s="3"/>
      <x:c r="J119" s="3"/>
      <x:c r="K119" s="4"/>
      <x:c r="L119" s="4">
        <x:f>+K119*0.1</x:f>
        <x:v>0</x:v>
      </x:c>
      <x:c r="M119" s="5">
        <x:f>+K119+L119</x:f>
        <x:v>0</x:v>
      </x:c>
      <x:c r="N119" s="6"/>
    </x:row>
    <x:row r="120" spans="1:14" ht="20.100000000000001" customHeight="1">
      <x:c r="A120" s="7" t="s">
        <x:v>155</x:v>
      </x:c>
      <x:c r="B120" s="8"/>
      <x:c r="C120" s="8"/>
      <x:c r="D120" s="9">
        <x:f>SUM(D110:D119)</x:f>
        <x:v>0</x:v>
      </x:c>
      <x:c r="E120" s="9">
        <x:f>SUM(E110:E119)</x:f>
        <x:v>0</x:v>
      </x:c>
      <x:c r="F120" s="10">
        <x:f>SUM(F110:F119)</x:f>
        <x:v>0</x:v>
      </x:c>
      <x:c r="G120" s="11"/>
      <x:c r="H120" s="7"/>
      <x:c r="I120" s="8"/>
      <x:c r="J120" s="8"/>
      <x:c r="K120" s="9">
        <x:f>SUM(K110:K119)</x:f>
        <x:v>355000</x:v>
      </x:c>
      <x:c r="L120" s="9">
        <x:f>SUM(L110:L119)</x:f>
        <x:v>0</x:v>
      </x:c>
      <x:c r="M120" s="10">
        <x:f>SUM(M110:M119)</x:f>
        <x:v>355000</x:v>
      </x:c>
      <x:c r="N120" s="11"/>
    </x:row>
    <x:row r="121" spans="1:14" ht="20.100000000000001" customHeight="1">
      <x:c r="A121" s="12" t="s">
        <x:v>1690</x:v>
      </x:c>
      <x:c r="B121" s="13"/>
      <x:c r="C121" s="13"/>
      <x:c r="D121" s="14">
        <x:f>+D99+D104+D109+D120</x:f>
        <x:v>0</x:v>
      </x:c>
      <x:c r="E121" s="14">
        <x:f>+E99+E104+E109+E120</x:f>
        <x:v>0</x:v>
      </x:c>
      <x:c r="F121" s="15">
        <x:f>+F99+F104+F109+F120</x:f>
        <x:v>0</x:v>
      </x:c>
      <x:c r="G121" s="16"/>
      <x:c r="H121" s="12"/>
      <x:c r="I121" s="13"/>
      <x:c r="J121" s="13"/>
      <x:c r="K121" s="14">
        <x:f>+K99+K104+K109+K120</x:f>
        <x:v>626920</x:v>
      </x:c>
      <x:c r="L121" s="14">
        <x:f>+L99+L104+L109+L120</x:f>
        <x:v>27192</x:v>
      </x:c>
      <x:c r="M121" s="15">
        <x:f>+M99+M104+M109+M120</x:f>
        <x:v>654112</x:v>
      </x:c>
      <x:c r="N121" s="16"/>
    </x:row>
    <x:row r="122" spans="1:14" ht="20.100000000000001" customHeight="1">
      <x:c r="A122" s="23" t="s">
        <x:v>35</x:v>
      </x:c>
      <x:c r="B122" s="24"/>
      <x:c r="C122" s="24"/>
      <x:c r="D122" s="25">
        <x:f>+D83-D121</x:f>
        <x:v>0</x:v>
      </x:c>
      <x:c r="E122" s="25">
        <x:f>+E83-E121</x:f>
        <x:v>0</x:v>
      </x:c>
      <x:c r="F122" s="26">
        <x:f>+F83-F121</x:f>
        <x:v>0</x:v>
      </x:c>
      <x:c r="G122" s="27"/>
      <x:c r="H122" s="23"/>
      <x:c r="I122" s="24"/>
      <x:c r="J122" s="24"/>
      <x:c r="K122" s="25">
        <x:f>+K83-K121</x:f>
        <x:v>-626920</x:v>
      </x:c>
      <x:c r="L122" s="25">
        <x:f>+L83-L121</x:f>
        <x:v>-27192</x:v>
      </x:c>
      <x:c r="M122" s="26">
        <x:f>+M83-M121</x:f>
        <x:v>-654112</x:v>
      </x:c>
      <x:c r="N122" s="27"/>
    </x:row>
    <x:row r="125" spans="1:13">
      <x:c r="A125" s="1" t="s">
        <x:v>148</x:v>
      </x:c>
      <x:c r="D125" s="2">
        <x:f>+D15+D57+D99</x:f>
        <x:v>31415346</x:v>
      </x:c>
      <x:c r="E125" s="2">
        <x:f>+E15+E57+E99</x:f>
        <x:v>3141533</x:v>
      </x:c>
      <x:c r="F125" s="2">
        <x:f>+F15+F57+F99</x:f>
        <x:v>34556879</x:v>
      </x:c>
      <x:c r="K125" s="2">
        <x:f>+K15+K57+K99</x:f>
        <x:v>44716180</x:v>
      </x:c>
      <x:c r="L125" s="2">
        <x:f>+L15+L57+L99</x:f>
        <x:v>4471618</x:v>
      </x:c>
      <x:c r="M125" s="2">
        <x:f>+M15+M57+M99</x:f>
        <x:v>49187798</x:v>
      </x:c>
    </x:row>
    <x:row r="126" spans="1:13">
      <x:c r="A126" s="1" t="s">
        <x:v>153</x:v>
      </x:c>
      <x:c r="D126" s="2">
        <x:f>+D20+D62+D104</x:f>
        <x:v>50964000</x:v>
      </x:c>
      <x:c r="E126" s="2">
        <x:f>+E20+E62+E104</x:f>
        <x:v>1775400</x:v>
      </x:c>
      <x:c r="F126" s="2">
        <x:f>+F20+F62+F104</x:f>
        <x:v>52739400</x:v>
      </x:c>
      <x:c r="K126" s="2">
        <x:f>+K20+K62+K104</x:f>
        <x:v>64483400</x:v>
      </x:c>
      <x:c r="L126" s="2">
        <x:f>+L20+L62+L104</x:f>
        <x:v>1684840</x:v>
      </x:c>
      <x:c r="M126" s="2">
        <x:f>+M20+M62+M104</x:f>
        <x:v>66168240</x:v>
      </x:c>
    </x:row>
    <x:row r="127" spans="1:13">
      <x:c r="A127" s="1" t="s">
        <x:v>187</x:v>
      </x:c>
      <x:c r="D127" s="2">
        <x:f>+D25+D67+D109</x:f>
        <x:v>0</x:v>
      </x:c>
      <x:c r="E127" s="2">
        <x:f>+E25+E67+E109</x:f>
        <x:v>0</x:v>
      </x:c>
      <x:c r="F127" s="2">
        <x:f>+F25+F67+F109</x:f>
        <x:v>0</x:v>
      </x:c>
      <x:c r="K127" s="2">
        <x:f>+K25+K67+K109</x:f>
        <x:v>0</x:v>
      </x:c>
      <x:c r="L127" s="2">
        <x:f>+L25+L67+L109</x:f>
        <x:v>0</x:v>
      </x:c>
      <x:c r="M127" s="2">
        <x:f>+M25+M67+M109</x:f>
        <x:v>0</x:v>
      </x:c>
    </x:row>
    <x:row r="128" spans="1:13">
      <x:c r="A128" s="1" t="s">
        <x:v>149</x:v>
      </x:c>
      <x:c r="D128" s="2">
        <x:f>+D36+D78+D120</x:f>
        <x:v>4151380</x:v>
      </x:c>
      <x:c r="E128" s="2">
        <x:f>+E36+E78+E120</x:f>
        <x:v>120400</x:v>
      </x:c>
      <x:c r="F128" s="2">
        <x:f>+F36+F78+F120</x:f>
        <x:v>4271780</x:v>
      </x:c>
      <x:c r="K128" s="2">
        <x:f>+K36+K78+K120</x:f>
        <x:v>5713486</x:v>
      </x:c>
      <x:c r="L128" s="2">
        <x:f>+L36+L78+L120</x:f>
        <x:v>309193.59999999998</x:v>
      </x:c>
      <x:c r="M128" s="2">
        <x:f>+M36+M78+M120</x:f>
        <x:v>6022679.5999999996</x:v>
      </x:c>
    </x:row>
    <x:row r="129" spans="4:13">
      <x:c r="D129" s="2">
        <x:f>SUM(D125:D128)</x:f>
        <x:v>86530726</x:v>
      </x:c>
      <x:c r="E129" s="2">
        <x:f>SUM(E125:E128)</x:f>
        <x:v>5037333</x:v>
      </x:c>
      <x:c r="F129" s="2">
        <x:f>SUM(F125:F128)</x:f>
        <x:v>91568059</x:v>
      </x:c>
      <x:c r="K129" s="2">
        <x:f>SUM(K125:K128)</x:f>
        <x:v>114913066</x:v>
      </x:c>
      <x:c r="L129" s="2">
        <x:f>SUM(L125:L128)</x:f>
        <x:v>6465651.5999999996</x:v>
      </x:c>
      <x:c r="M129" s="2">
        <x:f>SUM(M125:M128)</x:f>
        <x:v>121378717.59999999</x:v>
      </x:c>
    </x:row>
  </x:sheetData>
  <x:mergeCells count="31">
    <x:mergeCell ref="A16:A19"/>
    <x:mergeCell ref="H16:H19"/>
    <x:mergeCell ref="A1:N1"/>
    <x:mergeCell ref="A2:G2"/>
    <x:mergeCell ref="H2:N2"/>
    <x:mergeCell ref="A5:A14"/>
    <x:mergeCell ref="H5:H14"/>
    <x:mergeCell ref="A21:A24"/>
    <x:mergeCell ref="H21:H24"/>
    <x:mergeCell ref="A26:A35"/>
    <x:mergeCell ref="H26:H35"/>
    <x:mergeCell ref="A39:G39"/>
    <x:mergeCell ref="H39:N39"/>
    <x:mergeCell ref="A42:A56"/>
    <x:mergeCell ref="H42:H56"/>
    <x:mergeCell ref="A58:A61"/>
    <x:mergeCell ref="H58:H61"/>
    <x:mergeCell ref="A63:A66"/>
    <x:mergeCell ref="H63:H66"/>
    <x:mergeCell ref="A68:A77"/>
    <x:mergeCell ref="H68:H77"/>
    <x:mergeCell ref="A81:G81"/>
    <x:mergeCell ref="H81:N81"/>
    <x:mergeCell ref="A84:A98"/>
    <x:mergeCell ref="H84:H98"/>
    <x:mergeCell ref="A100:A103"/>
    <x:mergeCell ref="H100:H103"/>
    <x:mergeCell ref="A105:A108"/>
    <x:mergeCell ref="H105:H108"/>
    <x:mergeCell ref="A110:A119"/>
    <x:mergeCell ref="H110:H119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38" min="0" max="1048575" man="1" pt="0"/>
  </x:rowBreaks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N138"/>
  <x:sheetViews>
    <x:sheetView view="pageBreakPreview" topLeftCell="A1" zoomScaleNormal="100" zoomScaleSheetLayoutView="100" workbookViewId="0">
      <x:selection activeCell="B12" activeCellId="0" sqref="B12:B12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1748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5" t="s">
        <x:v>151</x:v>
      </x:c>
      <x:c r="B4" s="38" t="s">
        <x:v>1679</x:v>
      </x:c>
      <x:c r="C4" s="38" t="s">
        <x:v>1678</x:v>
      </x:c>
      <x:c r="D4" s="39">
        <x:v>157610000</x:v>
      </x:c>
      <x:c r="E4" s="39">
        <x:v>7390000</x:v>
      </x:c>
      <x:c r="F4" s="40">
        <x:f>+D4+E4</x:f>
        <x:v>165000000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146000000</x:v>
      </x:c>
      <x:c r="L4" s="39"/>
      <x:c r="M4" s="40">
        <x:f>+K4+L4</x:f>
        <x:v>146000000</x:v>
      </x:c>
      <x:c r="N4" s="42"/>
    </x:row>
    <x:row r="5" spans="1:14" ht="20.100000000000001" customHeight="1">
      <x:c r="A5" s="298" t="s">
        <x:v>148</x:v>
      </x:c>
      <x:c r="B5" s="54" t="s">
        <x:v>867</x:v>
      </x:c>
      <x:c r="C5" s="54" t="s">
        <x:v>363</x:v>
      </x:c>
      <x:c r="D5" s="20">
        <x:v>20895320</x:v>
      </x:c>
      <x:c r="E5" s="20">
        <x:f>+INT(D5*0.1)</x:f>
        <x:v>2089532</x:v>
      </x:c>
      <x:c r="F5" s="21">
        <x:f>+D5+E5</x:f>
        <x:v>22984852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3604100</x:v>
      </x:c>
      <x:c r="L5" s="20">
        <x:f t="shared" ref="L5:L10" si="0">+K5*0.1</x:f>
        <x:v>360410</x:v>
      </x:c>
      <x:c r="M5" s="21">
        <x:f t="shared" ref="M5:M19" si="1">+K5+L5</x:f>
        <x:v>3964510</x:v>
      </x:c>
      <x:c r="N5" s="22"/>
    </x:row>
    <x:row r="6" spans="1:14" ht="20.100000000000001" customHeight="1">
      <x:c r="A6" s="299"/>
      <x:c r="B6" s="3" t="s">
        <x:v>840</x:v>
      </x:c>
      <x:c r="C6" s="3" t="s">
        <x:v>339</x:v>
      </x:c>
      <x:c r="D6" s="4">
        <x:v>362680</x:v>
      </x:c>
      <x:c r="E6" s="4">
        <x:f t="shared" ref="E6:E13" si="2">+INT(D6*0.1)</x:f>
        <x:v>36268</x:v>
      </x:c>
      <x:c r="F6" s="5">
        <x:f>+D6+E6</x:f>
        <x:v>398948</x:v>
      </x:c>
      <x:c r="G6" s="6"/>
      <x:c r="H6" s="299"/>
      <x:c r="I6" s="3" t="s">
        <x:v>867</x:v>
      </x:c>
      <x:c r="J6" s="3" t="s">
        <x:v>351</x:v>
      </x:c>
      <x:c r="K6" s="4">
        <x:v>36896110</x:v>
      </x:c>
      <x:c r="L6" s="4">
        <x:f t="shared" si="0"/>
        <x:v>3689611</x:v>
      </x:c>
      <x:c r="M6" s="5">
        <x:f t="shared" si="1"/>
        <x:v>40585721</x:v>
      </x:c>
      <x:c r="N6" s="6"/>
    </x:row>
    <x:row r="7" spans="1:14" ht="20.100000000000001" customHeight="1">
      <x:c r="A7" s="299"/>
      <x:c r="B7" s="3" t="s">
        <x:v>854</x:v>
      </x:c>
      <x:c r="C7" s="3" t="s">
        <x:v>353</x:v>
      </x:c>
      <x:c r="D7" s="4">
        <x:v>29797370</x:v>
      </x:c>
      <x:c r="E7" s="4">
        <x:f t="shared" si="2"/>
        <x:v>2979737</x:v>
      </x:c>
      <x:c r="F7" s="5">
        <x:f>+D7+E7</x:f>
        <x:v>32777107</x:v>
      </x:c>
      <x:c r="G7" s="6"/>
      <x:c r="H7" s="299"/>
      <x:c r="I7" s="3" t="s">
        <x:v>34</x:v>
      </x:c>
      <x:c r="J7" s="3" t="s">
        <x:v>974</x:v>
      </x:c>
      <x:c r="K7" s="4">
        <x:v>2642020</x:v>
      </x:c>
      <x:c r="L7" s="4">
        <x:f t="shared" si="0"/>
        <x:v>264202</x:v>
      </x:c>
      <x:c r="M7" s="5">
        <x:f t="shared" si="1"/>
        <x:v>2906222</x:v>
      </x:c>
      <x:c r="N7" s="6"/>
    </x:row>
    <x:row r="8" spans="1:14" ht="20.100000000000001" customHeight="1">
      <x:c r="A8" s="299"/>
      <x:c r="B8" s="3" t="s">
        <x:v>967</x:v>
      </x:c>
      <x:c r="C8" s="3" t="s">
        <x:v>207</x:v>
      </x:c>
      <x:c r="D8" s="4">
        <x:v>65290300</x:v>
      </x:c>
      <x:c r="E8" s="4">
        <x:f t="shared" si="2"/>
        <x:v>6529030</x:v>
      </x:c>
      <x:c r="F8" s="5">
        <x:f t="shared" ref="F8:F13" si="3">+D8+E8</x:f>
        <x:v>71819330</x:v>
      </x:c>
      <x:c r="G8" s="6"/>
      <x:c r="H8" s="299"/>
      <x:c r="I8" s="3" t="s">
        <x:v>907</x:v>
      </x:c>
      <x:c r="J8" s="3" t="s">
        <x:v>894</x:v>
      </x:c>
      <x:c r="K8" s="4">
        <x:v>600000</x:v>
      </x:c>
      <x:c r="L8" s="4">
        <x:f t="shared" si="0"/>
        <x:v>60000</x:v>
      </x:c>
      <x:c r="M8" s="5">
        <x:f t="shared" si="1"/>
        <x:v>660000</x:v>
      </x:c>
      <x:c r="N8" s="6"/>
    </x:row>
    <x:row r="9" spans="1:14" ht="20.100000000000001" customHeight="1">
      <x:c r="A9" s="299"/>
      <x:c r="B9" s="3" t="s">
        <x:v>1033</x:v>
      </x:c>
      <x:c r="C9" s="3" t="s">
        <x:v>201</x:v>
      </x:c>
      <x:c r="D9" s="4">
        <x:v>3741000</x:v>
      </x:c>
      <x:c r="E9" s="4">
        <x:f t="shared" si="2"/>
        <x:v>374100</x:v>
      </x:c>
      <x:c r="F9" s="5">
        <x:f t="shared" si="3"/>
        <x:v>4115100</x:v>
      </x:c>
      <x:c r="G9" s="6"/>
      <x:c r="H9" s="299"/>
      <x:c r="I9" s="3" t="s">
        <x:v>846</x:v>
      </x:c>
      <x:c r="J9" s="3" t="s">
        <x:v>7</x:v>
      </x:c>
      <x:c r="K9" s="4">
        <x:v>1588300</x:v>
      </x:c>
      <x:c r="L9" s="4">
        <x:f t="shared" si="0"/>
        <x:v>158830</x:v>
      </x:c>
      <x:c r="M9" s="5">
        <x:f t="shared" si="1"/>
        <x:v>1747130</x:v>
      </x:c>
      <x:c r="N9" s="6"/>
    </x:row>
    <x:row r="10" spans="1:14" ht="20.100000000000001" customHeight="1">
      <x:c r="A10" s="299"/>
      <x:c r="B10" s="3" t="s">
        <x:v>1705</x:v>
      </x:c>
      <x:c r="C10" s="3" t="s">
        <x:v>1034</x:v>
      </x:c>
      <x:c r="D10" s="4">
        <x:v>279500</x:v>
      </x:c>
      <x:c r="E10" s="4">
        <x:f t="shared" si="2"/>
        <x:v>27950</x:v>
      </x:c>
      <x:c r="F10" s="5">
        <x:f t="shared" si="3"/>
        <x:v>307450</x:v>
      </x:c>
      <x:c r="G10" s="6"/>
      <x:c r="H10" s="299"/>
      <x:c r="I10" s="3" t="s">
        <x:v>991</x:v>
      </x:c>
      <x:c r="J10" s="3" t="s">
        <x:v>1020</x:v>
      </x:c>
      <x:c r="K10" s="4">
        <x:v>315000</x:v>
      </x:c>
      <x:c r="L10" s="4">
        <x:f t="shared" si="0"/>
        <x:v>31500</x:v>
      </x:c>
      <x:c r="M10" s="5">
        <x:f t="shared" si="1"/>
        <x:v>346500</x:v>
      </x:c>
      <x:c r="N10" s="6"/>
    </x:row>
    <x:row r="11" spans="1:14" ht="20.100000000000001" customHeight="1">
      <x:c r="A11" s="299"/>
      <x:c r="B11" s="3" t="s">
        <x:v>1016</x:v>
      </x:c>
      <x:c r="C11" s="3" t="s">
        <x:v>345</x:v>
      </x:c>
      <x:c r="D11" s="4">
        <x:v>28000000</x:v>
      </x:c>
      <x:c r="E11" s="4">
        <x:f t="shared" si="2"/>
        <x:v>2800000</x:v>
      </x:c>
      <x:c r="F11" s="5">
        <x:f t="shared" si="3"/>
        <x:v>30800000</x:v>
      </x:c>
      <x:c r="G11" s="6"/>
      <x:c r="H11" s="299"/>
      <x:c r="I11" s="3"/>
      <x:c r="J11" s="3"/>
      <x:c r="K11" s="4"/>
      <x:c r="L11" s="4">
        <x:f>+INT(K11*0.1)</x:f>
        <x:v>0</x:v>
      </x:c>
      <x:c r="M11" s="5">
        <x:f t="shared" si="1"/>
        <x:v>0</x:v>
      </x:c>
      <x:c r="N11" s="6"/>
    </x:row>
    <x:row r="12" spans="1:14" ht="20.100000000000001" customHeight="1">
      <x:c r="A12" s="299"/>
      <x:c r="B12" s="3" t="s">
        <x:v>846</x:v>
      </x:c>
      <x:c r="C12" s="3" t="s">
        <x:v>621</x:v>
      </x:c>
      <x:c r="D12" s="35">
        <x:v>-519100</x:v>
      </x:c>
      <x:c r="E12" s="35">
        <x:f t="shared" si="2"/>
        <x:v>-51910</x:v>
      </x:c>
      <x:c r="F12" s="36">
        <x:f t="shared" si="3"/>
        <x:v>-571010</x:v>
      </x:c>
      <x:c r="G12" s="6"/>
      <x:c r="H12" s="299"/>
      <x:c r="I12" s="3"/>
      <x:c r="J12" s="3"/>
      <x:c r="K12" s="4"/>
      <x:c r="L12" s="4">
        <x:f t="shared" ref="L12:L19" si="4">+K12*0.1</x:f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 t="s">
        <x:v>846</x:v>
      </x:c>
      <x:c r="C13" s="3" t="s">
        <x:v>1005</x:v>
      </x:c>
      <x:c r="D13" s="4">
        <x:v>935000</x:v>
      </x:c>
      <x:c r="E13" s="4">
        <x:f t="shared" si="2"/>
        <x:v>93500</x:v>
      </x:c>
      <x:c r="F13" s="5">
        <x:f t="shared" si="3"/>
        <x:v>1028500</x:v>
      </x:c>
      <x:c r="G13" s="6"/>
      <x:c r="H13" s="299"/>
      <x:c r="I13" s="3"/>
      <x:c r="J13" s="3"/>
      <x:c r="K13" s="4"/>
      <x:c r="L13" s="4">
        <x:f t="shared" si="4"/>
        <x:v>0</x:v>
      </x:c>
      <x:c r="M13" s="5">
        <x:f t="shared" si="1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5"/>
      <x:c r="G14" s="6"/>
      <x:c r="H14" s="300"/>
      <x:c r="I14" s="3"/>
      <x:c r="J14" s="3"/>
      <x:c r="K14" s="4"/>
      <x:c r="L14" s="4"/>
      <x:c r="M14" s="5">
        <x:f t="shared" si="1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148782070</x:v>
      </x:c>
      <x:c r="E15" s="9">
        <x:f>SUM(E5:E14)</x:f>
        <x:v>14878207</x:v>
      </x:c>
      <x:c r="F15" s="10">
        <x:f>SUM(F5:F14)</x:f>
        <x:v>163660277</x:v>
      </x:c>
      <x:c r="G15" s="11"/>
      <x:c r="H15" s="7"/>
      <x:c r="I15" s="8"/>
      <x:c r="J15" s="8"/>
      <x:c r="K15" s="9">
        <x:f>SUM(K5:K14)</x:f>
        <x:v>45645530</x:v>
      </x:c>
      <x:c r="L15" s="9">
        <x:f>SUM(L5:L14)</x:f>
        <x:v>4564553</x:v>
      </x:c>
      <x:c r="M15" s="10">
        <x:f>SUM(M5:M14)</x:f>
        <x:v>50210083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19890000</x:v>
      </x:c>
      <x:c r="E16" s="44"/>
      <x:c r="F16" s="45">
        <x:f>+D16+E16</x:f>
        <x:v>19890000</x:v>
      </x:c>
      <x:c r="G16" s="37"/>
      <x:c r="H16" s="301" t="s">
        <x:v>153</x:v>
      </x:c>
      <x:c r="I16" s="3" t="s">
        <x:v>1677</x:v>
      </x:c>
      <x:c r="J16" s="3"/>
      <x:c r="K16" s="4">
        <x:v>28160000</x:v>
      </x:c>
      <x:c r="L16" s="4"/>
      <x:c r="M16" s="5">
        <x:f t="shared" si="1"/>
        <x:v>28160000</x:v>
      </x:c>
      <x:c r="N16" s="6"/>
    </x:row>
    <x:row r="17" spans="1:14" ht="20.100000000000001" customHeight="1">
      <x:c r="A17" s="299"/>
      <x:c r="B17" s="3" t="s">
        <x:v>1027</x:v>
      </x:c>
      <x:c r="C17" s="3" t="s">
        <x:v>1028</x:v>
      </x:c>
      <x:c r="D17" s="4">
        <x:v>6560000</x:v>
      </x:c>
      <x:c r="E17" s="4"/>
      <x:c r="F17" s="5">
        <x:f>+D17+E17</x:f>
        <x:v>6560000</x:v>
      </x:c>
      <x:c r="G17" s="37"/>
      <x:c r="H17" s="299"/>
      <x:c r="I17" s="3" t="s">
        <x:v>999</x:v>
      </x:c>
      <x:c r="J17" s="3" t="s">
        <x:v>1002</x:v>
      </x:c>
      <x:c r="K17" s="4">
        <x:f>34768000-K18</x:f>
        <x:v>27308800</x:v>
      </x:c>
      <x:c r="L17" s="4">
        <x:f t="shared" si="4"/>
        <x:v>2730880</x:v>
      </x:c>
      <x:c r="M17" s="5">
        <x:f t="shared" si="1"/>
        <x:v>30039680</x:v>
      </x:c>
      <x:c r="N17" s="6"/>
    </x:row>
    <x:row r="18" spans="1:14" ht="20.100000000000001" customHeight="1">
      <x:c r="A18" s="299"/>
      <x:c r="B18" s="3" t="s">
        <x:v>980</x:v>
      </x:c>
      <x:c r="C18" s="3" t="s">
        <x:v>6</x:v>
      </x:c>
      <x:c r="D18" s="4">
        <x:v>6123600</x:v>
      </x:c>
      <x:c r="E18" s="4">
        <x:f>+INT(D18*0.1)</x:f>
        <x:v>612360</x:v>
      </x:c>
      <x:c r="F18" s="5">
        <x:f>+D18+E18</x:f>
        <x:v>6735960</x:v>
      </x:c>
      <x:c r="G18" s="6"/>
      <x:c r="H18" s="299"/>
      <x:c r="I18" s="3"/>
      <x:c r="J18" s="3" t="s">
        <x:v>1029</x:v>
      </x:c>
      <x:c r="K18" s="4">
        <x:v>7459200</x:v>
      </x:c>
      <x:c r="L18" s="4">
        <x:f t="shared" si="4"/>
        <x:v>745920</x:v>
      </x:c>
      <x:c r="M18" s="5">
        <x:f t="shared" si="1"/>
        <x:v>8205120</x:v>
      </x:c>
      <x:c r="N18" s="6"/>
    </x:row>
    <x:row r="19" spans="1:14" ht="20.100000000000001" customHeight="1">
      <x:c r="A19" s="300"/>
      <x:c r="B19" s="3" t="s">
        <x:v>987</x:v>
      </x:c>
      <x:c r="C19" s="3" t="s">
        <x:v>1008</x:v>
      </x:c>
      <x:c r="D19" s="4">
        <x:v>5000000</x:v>
      </x:c>
      <x:c r="E19" s="4">
        <x:f>+D19*0.1</x:f>
        <x:v>500000</x:v>
      </x:c>
      <x:c r="F19" s="5">
        <x:f>+D19+E19</x:f>
        <x:v>5500000</x:v>
      </x:c>
      <x:c r="G19" s="6"/>
      <x:c r="H19" s="300"/>
      <x:c r="I19" s="3"/>
      <x:c r="J19" s="3"/>
      <x:c r="K19" s="4"/>
      <x:c r="L19" s="4">
        <x:f t="shared" si="4"/>
        <x:v>0</x:v>
      </x:c>
      <x:c r="M19" s="5">
        <x:f t="shared" si="1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9">
        <x:f>SUM(D16:D19)</x:f>
        <x:v>37573600</x:v>
      </x:c>
      <x:c r="E20" s="9">
        <x:f>SUM(E16:E19)</x:f>
        <x:v>1112360</x:v>
      </x:c>
      <x:c r="F20" s="10">
        <x:f>SUM(F16:F19)</x:f>
        <x:v>38685960</x:v>
      </x:c>
      <x:c r="G20" s="11"/>
      <x:c r="H20" s="7"/>
      <x:c r="I20" s="8"/>
      <x:c r="J20" s="8"/>
      <x:c r="K20" s="9">
        <x:f>SUM(K16:K19)</x:f>
        <x:v>62928000</x:v>
      </x:c>
      <x:c r="L20" s="9">
        <x:f>SUM(L16:L19)</x:f>
        <x:v>3476800</x:v>
      </x:c>
      <x:c r="M20" s="10">
        <x:f>SUM(M16:M19)</x:f>
        <x:v>66404800</x:v>
      </x:c>
      <x:c r="N20" s="11"/>
    </x:row>
    <x:row r="21" spans="1:14" ht="20.100000000000001" customHeight="1">
      <x:c r="A21" s="301" t="s">
        <x:v>187</x:v>
      </x:c>
      <x:c r="B21" s="3" t="s">
        <x:v>1693</x:v>
      </x:c>
      <x:c r="C21" s="3" t="s">
        <x:v>948</x:v>
      </x:c>
      <x:c r="D21" s="4"/>
      <x:c r="E21" s="4">
        <x:f>+D21*0.1</x:f>
        <x:v>0</x:v>
      </x:c>
      <x:c r="F21" s="5">
        <x:f>+D21+E21</x:f>
        <x:v>0</x:v>
      </x:c>
      <x:c r="G21" s="6"/>
      <x:c r="H21" s="301" t="s">
        <x:v>187</x:v>
      </x:c>
      <x:c r="I21" s="3" t="s">
        <x:v>1010</x:v>
      </x:c>
      <x:c r="J21" s="3" t="s">
        <x:v>948</x:v>
      </x:c>
      <x:c r="K21" s="4">
        <x:v>420000</x:v>
      </x:c>
      <x:c r="L21" s="4">
        <x:f>+K21*0.1</x:f>
        <x:v>42000</x:v>
      </x:c>
      <x:c r="M21" s="5">
        <x:f>+K21+L21</x:f>
        <x:v>462000</x:v>
      </x:c>
      <x:c r="N21" s="6"/>
    </x:row>
    <x:row r="22" spans="1:14" ht="20.100000000000001" customHeight="1">
      <x:c r="A22" s="299"/>
      <x:c r="B22" s="3"/>
      <x:c r="C22" s="3"/>
      <x:c r="D22" s="4"/>
      <x:c r="E22" s="4">
        <x:f>+D22*0.1</x:f>
        <x:v>0</x:v>
      </x:c>
      <x:c r="F22" s="5">
        <x:f>+D22+E22</x:f>
        <x:v>0</x:v>
      </x:c>
      <x:c r="G22" s="6"/>
      <x:c r="H22" s="299"/>
      <x:c r="I22" s="3" t="s">
        <x:v>857</x:v>
      </x:c>
      <x:c r="J22" s="3" t="s">
        <x:v>1006</x:v>
      </x:c>
      <x:c r="K22" s="4">
        <x:v>260000</x:v>
      </x:c>
      <x:c r="L22" s="4">
        <x:f>+K22*0.1</x:f>
        <x:v>26000</x:v>
      </x:c>
      <x:c r="M22" s="5">
        <x:f>+K22+L22</x:f>
        <x:v>286000</x:v>
      </x:c>
      <x:c r="N22" s="6"/>
    </x:row>
    <x:row r="23" spans="1:14" ht="20.100000000000001" customHeight="1">
      <x:c r="A23" s="299"/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299"/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300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300"/>
      <x:c r="I24" s="3"/>
      <x:c r="J24" s="3"/>
      <x:c r="K24" s="4"/>
      <x:c r="L24" s="4">
        <x:f>+K24*0.1</x:f>
        <x:v>0</x:v>
      </x:c>
      <x:c r="M24" s="5">
        <x:f>+K24+L24</x:f>
        <x:v>0</x:v>
      </x:c>
      <x:c r="N24" s="6"/>
    </x:row>
    <x:row r="25" spans="1:14" ht="20.100000000000001" customHeight="1">
      <x:c r="A25" s="7" t="s">
        <x:v>155</x:v>
      </x:c>
      <x:c r="B25" s="8"/>
      <x:c r="C25" s="8"/>
      <x:c r="D25" s="9">
        <x:f>SUM(D21:D24)</x:f>
        <x:v>0</x:v>
      </x:c>
      <x:c r="E25" s="9">
        <x:f>SUM(E21:E24)</x:f>
        <x:v>0</x:v>
      </x:c>
      <x:c r="F25" s="10">
        <x:f>SUM(F21:F24)</x:f>
        <x:v>0</x:v>
      </x:c>
      <x:c r="G25" s="11"/>
      <x:c r="H25" s="7"/>
      <x:c r="I25" s="8"/>
      <x:c r="J25" s="8"/>
      <x:c r="K25" s="9">
        <x:f>SUM(K21:K24)</x:f>
        <x:v>680000</x:v>
      </x:c>
      <x:c r="L25" s="9">
        <x:f>SUM(L21:L24)</x:f>
        <x:v>68000</x:v>
      </x:c>
      <x:c r="M25" s="10">
        <x:f>SUM(M21:M24)</x:f>
        <x:v>748000</x:v>
      </x:c>
      <x:c r="N25" s="11"/>
    </x:row>
    <x:row r="26" spans="1:14" ht="20.100000000000001" customHeight="1">
      <x:c r="A26" s="301" t="s">
        <x:v>149</x:v>
      </x:c>
      <x:c r="B26" s="3" t="s">
        <x:v>1009</x:v>
      </x:c>
      <x:c r="C26" s="3" t="s">
        <x:v>164</x:v>
      </x:c>
      <x:c r="D26" s="4">
        <x:v>363000</x:v>
      </x:c>
      <x:c r="E26" s="4">
        <x:f>+D26*0.1</x:f>
        <x:v>36300</x:v>
      </x:c>
      <x:c r="F26" s="5">
        <x:f>+D26+E26</x:f>
        <x:v>399300</x:v>
      </x:c>
      <x:c r="G26" s="6"/>
      <x:c r="H26" s="301" t="s">
        <x:v>149</x:v>
      </x:c>
      <x:c r="I26" s="3" t="s">
        <x:v>952</x:v>
      </x:c>
      <x:c r="J26" s="3" t="s">
        <x:v>28</x:v>
      </x:c>
      <x:c r="K26" s="4">
        <x:v>760000</x:v>
      </x:c>
      <x:c r="L26" s="4">
        <x:f>+K26*0.1</x:f>
        <x:v>76000</x:v>
      </x:c>
      <x:c r="M26" s="5">
        <x:f t="shared" ref="M26:M35" si="5">+K26+L26</x:f>
        <x:v>836000</x:v>
      </x:c>
      <x:c r="N26" s="6"/>
    </x:row>
    <x:row r="27" spans="1:14" ht="20.100000000000001" customHeight="1">
      <x:c r="A27" s="299"/>
      <x:c r="B27" s="3" t="s">
        <x:v>174</x:v>
      </x:c>
      <x:c r="C27" s="3" t="s">
        <x:v>941</x:v>
      </x:c>
      <x:c r="D27" s="4">
        <x:v>500000</x:v>
      </x:c>
      <x:c r="E27" s="4"/>
      <x:c r="F27" s="5">
        <x:f>+D27+E27</x:f>
        <x:v>500000</x:v>
      </x:c>
      <x:c r="G27" s="6"/>
      <x:c r="H27" s="299"/>
      <x:c r="I27" s="3" t="s">
        <x:v>959</x:v>
      </x:c>
      <x:c r="J27" s="3" t="s">
        <x:v>825</x:v>
      </x:c>
      <x:c r="K27" s="4">
        <x:v>1468000</x:v>
      </x:c>
      <x:c r="L27" s="4">
        <x:f>+K27*0.1</x:f>
        <x:v>146800</x:v>
      </x:c>
      <x:c r="M27" s="5">
        <x:f t="shared" si="5"/>
        <x:v>1614800</x:v>
      </x:c>
      <x:c r="N27" s="6"/>
    </x:row>
    <x:row r="28" spans="1:14" ht="20.100000000000001" customHeight="1">
      <x:c r="A28" s="299"/>
      <x:c r="B28" s="3" t="s">
        <x:v>947</x:v>
      </x:c>
      <x:c r="C28" s="3" t="s">
        <x:v>914</x:v>
      </x:c>
      <x:c r="D28" s="4">
        <x:v>130000</x:v>
      </x:c>
      <x:c r="E28" s="4">
        <x:f>+D28*0.1</x:f>
        <x:v>13000</x:v>
      </x:c>
      <x:c r="F28" s="5">
        <x:f>+D28+E28</x:f>
        <x:v>143000</x:v>
      </x:c>
      <x:c r="G28" s="6"/>
      <x:c r="H28" s="299"/>
      <x:c r="I28" s="3" t="s">
        <x:v>186</x:v>
      </x:c>
      <x:c r="J28" s="3" t="s">
        <x:v>941</x:v>
      </x:c>
      <x:c r="K28" s="4">
        <x:v>550000</x:v>
      </x:c>
      <x:c r="L28" s="4"/>
      <x:c r="M28" s="5">
        <x:f t="shared" si="5"/>
        <x:v>550000</x:v>
      </x:c>
      <x:c r="N28" s="6"/>
    </x:row>
    <x:row r="29" spans="1:14" ht="20.100000000000001" customHeight="1">
      <x:c r="A29" s="299"/>
      <x:c r="B29" s="3" t="s">
        <x:v>828</x:v>
      </x:c>
      <x:c r="C29" s="3" t="s">
        <x:v>167</x:v>
      </x:c>
      <x:c r="D29" s="4">
        <x:v>102000</x:v>
      </x:c>
      <x:c r="E29" s="4">
        <x:f>+D29*0.1</x:f>
        <x:v>10200</x:v>
      </x:c>
      <x:c r="F29" s="5">
        <x:f>+D29+E29</x:f>
        <x:v>112200</x:v>
      </x:c>
      <x:c r="G29" s="6"/>
      <x:c r="H29" s="299"/>
      <x:c r="I29" s="3" t="s">
        <x:v>923</x:v>
      </x:c>
      <x:c r="J29" s="3" t="s">
        <x:v>896</x:v>
      </x:c>
      <x:c r="K29" s="4">
        <x:v>300000</x:v>
      </x:c>
      <x:c r="L29" s="4">
        <x:f>+K29*0.1</x:f>
        <x:v>30000</x:v>
      </x:c>
      <x:c r="M29" s="5">
        <x:f t="shared" si="5"/>
        <x:v>330000</x:v>
      </x:c>
      <x:c r="N29" s="6" t="s">
        <x:v>209</x:v>
      </x:c>
    </x:row>
    <x:row r="30" spans="1:14" ht="20.100000000000001" customHeight="1">
      <x:c r="A30" s="299"/>
      <x:c r="B30" s="3" t="s">
        <x:v>169</x:v>
      </x:c>
      <x:c r="C30" s="3" t="s">
        <x:v>837</x:v>
      </x:c>
      <x:c r="D30" s="4">
        <x:v>902070</x:v>
      </x:c>
      <x:c r="E30" s="4"/>
      <x:c r="F30" s="5">
        <x:f t="shared" ref="F30:F35" si="6">+D30+E30</x:f>
        <x:v>902070</x:v>
      </x:c>
      <x:c r="G30" s="6"/>
      <x:c r="H30" s="299"/>
      <x:c r="I30" s="3" t="s">
        <x:v>1680</x:v>
      </x:c>
      <x:c r="J30" s="3" t="s">
        <x:v>1695</x:v>
      </x:c>
      <x:c r="K30" s="4">
        <x:v>130000</x:v>
      </x:c>
      <x:c r="L30" s="4">
        <x:f>+K30*0.1</x:f>
        <x:v>13000</x:v>
      </x:c>
      <x:c r="M30" s="5">
        <x:f t="shared" si="5"/>
        <x:v>143000</x:v>
      </x:c>
      <x:c r="N30" s="6"/>
    </x:row>
    <x:row r="31" spans="1:14" ht="20.100000000000001" customHeight="1">
      <x:c r="A31" s="299"/>
      <x:c r="B31" s="3" t="s">
        <x:v>622</x:v>
      </x:c>
      <x:c r="C31" s="3" t="s">
        <x:v>1023</x:v>
      </x:c>
      <x:c r="D31" s="35">
        <x:v>-90000</x:v>
      </x:c>
      <x:c r="E31" s="35">
        <x:f>+D31*0.1</x:f>
        <x:v>-9000</x:v>
      </x:c>
      <x:c r="F31" s="36">
        <x:f t="shared" si="6"/>
        <x:v>-99000</x:v>
      </x:c>
      <x:c r="G31" s="6"/>
      <x:c r="H31" s="299"/>
      <x:c r="I31" s="3" t="s">
        <x:v>185</x:v>
      </x:c>
      <x:c r="J31" s="3" t="s">
        <x:v>149</x:v>
      </x:c>
      <x:c r="K31" s="4">
        <x:v>1255110</x:v>
      </x:c>
      <x:c r="L31" s="4">
        <x:v>7000</x:v>
      </x:c>
      <x:c r="M31" s="5">
        <x:f t="shared" si="5"/>
        <x:v>1262110</x:v>
      </x:c>
      <x:c r="N31" s="6"/>
    </x:row>
    <x:row r="32" spans="1:14" ht="20.100000000000001" customHeight="1">
      <x:c r="A32" s="299"/>
      <x:c r="B32" s="3"/>
      <x:c r="C32" s="3"/>
      <x:c r="D32" s="4"/>
      <x:c r="E32" s="4"/>
      <x:c r="F32" s="5">
        <x:f t="shared" si="6"/>
        <x:v>0</x:v>
      </x:c>
      <x:c r="G32" s="6"/>
      <x:c r="H32" s="299"/>
      <x:c r="I32" s="3" t="s">
        <x:v>1699</x:v>
      </x:c>
      <x:c r="J32" s="3" t="s">
        <x:v>167</x:v>
      </x:c>
      <x:c r="K32" s="4">
        <x:v>90000</x:v>
      </x:c>
      <x:c r="L32" s="4">
        <x:f>+K32*0.1</x:f>
        <x:v>9000</x:v>
      </x:c>
      <x:c r="M32" s="5">
        <x:f t="shared" si="5"/>
        <x:v>99000</x:v>
      </x:c>
      <x:c r="N32" s="6"/>
    </x:row>
    <x:row r="33" spans="1:14" ht="20.100000000000001" customHeight="1">
      <x:c r="A33" s="299"/>
      <x:c r="B33" s="3"/>
      <x:c r="C33" s="3"/>
      <x:c r="D33" s="4"/>
      <x:c r="E33" s="4"/>
      <x:c r="F33" s="5">
        <x:f t="shared" si="6"/>
        <x:v>0</x:v>
      </x:c>
      <x:c r="G33" s="6"/>
      <x:c r="H33" s="299"/>
      <x:c r="I33" s="3" t="s">
        <x:v>994</x:v>
      </x:c>
      <x:c r="J33" s="3" t="s">
        <x:v>8</x:v>
      </x:c>
      <x:c r="K33" s="4">
        <x:v>424546</x:v>
      </x:c>
      <x:c r="L33" s="4">
        <x:f>+K33*0.1-1</x:f>
        <x:v>42453.600000000006</x:v>
      </x:c>
      <x:c r="M33" s="5">
        <x:f t="shared" si="5"/>
        <x:v>466999.59999999998</x:v>
      </x:c>
      <x:c r="N33" s="6" t="s">
        <x:v>192</x:v>
      </x:c>
    </x:row>
    <x:row r="34" spans="1:14" ht="20.100000000000001" customHeight="1">
      <x:c r="A34" s="299"/>
      <x:c r="B34" s="3"/>
      <x:c r="C34" s="3"/>
      <x:c r="D34" s="4"/>
      <x:c r="E34" s="4"/>
      <x:c r="F34" s="5">
        <x:f t="shared" si="6"/>
        <x:v>0</x:v>
      </x:c>
      <x:c r="G34" s="6"/>
      <x:c r="H34" s="299"/>
      <x:c r="I34" s="3" t="s">
        <x:v>1011</x:v>
      </x:c>
      <x:c r="J34" s="3" t="s">
        <x:v>1032</x:v>
      </x:c>
      <x:c r="K34" s="4">
        <x:v>300000</x:v>
      </x:c>
      <x:c r="L34" s="4">
        <x:f>+K34*0.1</x:f>
        <x:v>30000</x:v>
      </x:c>
      <x:c r="M34" s="5">
        <x:f t="shared" si="5"/>
        <x:v>330000</x:v>
      </x:c>
      <x:c r="N34" s="6"/>
    </x:row>
    <x:row r="35" spans="1:14" ht="20.100000000000001" customHeight="1">
      <x:c r="A35" s="300"/>
      <x:c r="B35" s="3"/>
      <x:c r="C35" s="3"/>
      <x:c r="D35" s="4"/>
      <x:c r="E35" s="4"/>
      <x:c r="F35" s="5">
        <x:f t="shared" si="6"/>
        <x:v>0</x:v>
      </x:c>
      <x:c r="G35" s="6"/>
      <x:c r="H35" s="300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7" t="s">
        <x:v>155</x:v>
      </x:c>
      <x:c r="B36" s="8"/>
      <x:c r="C36" s="8"/>
      <x:c r="D36" s="9">
        <x:f>SUM(D26:D35)</x:f>
        <x:v>1907070</x:v>
      </x:c>
      <x:c r="E36" s="9">
        <x:f>SUM(E26:E35)</x:f>
        <x:v>50500</x:v>
      </x:c>
      <x:c r="F36" s="10">
        <x:f>SUM(F26:F35)</x:f>
        <x:v>1957570</x:v>
      </x:c>
      <x:c r="G36" s="11"/>
      <x:c r="H36" s="7"/>
      <x:c r="I36" s="8"/>
      <x:c r="J36" s="8"/>
      <x:c r="K36" s="9">
        <x:f>SUM(K26:K35)</x:f>
        <x:v>5277656</x:v>
      </x:c>
      <x:c r="L36" s="9">
        <x:f>SUM(L26:L35)</x:f>
        <x:v>354253.59999999998</x:v>
      </x:c>
      <x:c r="M36" s="10">
        <x:f>SUM(M26:M35)</x:f>
        <x:v>5631909.5999999996</x:v>
      </x:c>
      <x:c r="N36" s="11"/>
    </x:row>
    <x:row r="37" spans="1:14" ht="20.100000000000001" customHeight="1">
      <x:c r="A37" s="12" t="s">
        <x:v>1690</x:v>
      </x:c>
      <x:c r="B37" s="13"/>
      <x:c r="C37" s="13"/>
      <x:c r="D37" s="14">
        <x:f>+D15+D20+D25+D36</x:f>
        <x:v>188262740</x:v>
      </x:c>
      <x:c r="E37" s="14">
        <x:f>+E15+E20+E25+E36</x:f>
        <x:v>16041067</x:v>
      </x:c>
      <x:c r="F37" s="15">
        <x:f>+F15+F20+F25+F36</x:f>
        <x:v>204303807</x:v>
      </x:c>
      <x:c r="G37" s="16"/>
      <x:c r="H37" s="12"/>
      <x:c r="I37" s="13"/>
      <x:c r="J37" s="13"/>
      <x:c r="K37" s="14">
        <x:f>+K15+K20+K25+K36</x:f>
        <x:v>114531186</x:v>
      </x:c>
      <x:c r="L37" s="14">
        <x:f>+L15+L20+L25+L36</x:f>
        <x:v>8463606.5999999996</x:v>
      </x:c>
      <x:c r="M37" s="15">
        <x:f>+M15+M20+M25+M36</x:f>
        <x:v>122994792.59999999</x:v>
      </x:c>
      <x:c r="N37" s="16"/>
    </x:row>
    <x:row r="38" spans="1:14" ht="20.100000000000001" customHeight="1">
      <x:c r="A38" s="23" t="s">
        <x:v>35</x:v>
      </x:c>
      <x:c r="B38" s="24"/>
      <x:c r="C38" s="24"/>
      <x:c r="D38" s="25">
        <x:f>+D4-D37</x:f>
        <x:v>-30652740</x:v>
      </x:c>
      <x:c r="E38" s="25">
        <x:f>+E4-E37</x:f>
        <x:v>-8651067</x:v>
      </x:c>
      <x:c r="F38" s="26">
        <x:f>+F4-F37</x:f>
        <x:v>-39303807</x:v>
      </x:c>
      <x:c r="G38" s="27"/>
      <x:c r="H38" s="23"/>
      <x:c r="I38" s="24"/>
      <x:c r="J38" s="24"/>
      <x:c r="K38" s="25">
        <x:f>+K4-K37</x:f>
        <x:v>31468814</x:v>
      </x:c>
      <x:c r="L38" s="25">
        <x:f>+L4-L37</x:f>
        <x:v>-8463606.5999999996</x:v>
      </x:c>
      <x:c r="M38" s="26">
        <x:f>+M4-M37</x:f>
        <x:v>23005207.400000006</x:v>
      </x:c>
      <x:c r="N38" s="27"/>
    </x:row>
    <x:row r="39" spans="1:14" ht="20.100000000000001" customHeight="1">
      <x:c r="A39" s="296" t="s">
        <x:v>871</x:v>
      </x:c>
      <x:c r="B39" s="297"/>
      <x:c r="C39" s="297"/>
      <x:c r="D39" s="297"/>
      <x:c r="E39" s="297"/>
      <x:c r="F39" s="297"/>
      <x:c r="G39" s="297"/>
      <x:c r="H39" s="302" t="s">
        <x:v>58</x:v>
      </x:c>
      <x:c r="I39" s="303"/>
      <x:c r="J39" s="303"/>
      <x:c r="K39" s="303"/>
      <x:c r="L39" s="303"/>
      <x:c r="M39" s="304"/>
      <x:c r="N39" s="305"/>
    </x:row>
    <x:row r="40" spans="1:14" ht="20.100000000000001" customHeight="1">
      <x:c r="A40" s="29" t="s">
        <x:v>147</x:v>
      </x:c>
      <x:c r="B40" s="30" t="s">
        <x:v>144</x:v>
      </x:c>
      <x:c r="C40" s="30" t="s">
        <x:v>150</x:v>
      </x:c>
      <x:c r="D40" s="31" t="s">
        <x:v>145</x:v>
      </x:c>
      <x:c r="E40" s="31" t="s">
        <x:v>152</x:v>
      </x:c>
      <x:c r="F40" s="32" t="s">
        <x:v>146</x:v>
      </x:c>
      <x:c r="G40" s="33" t="s">
        <x:v>154</x:v>
      </x:c>
      <x:c r="H40" s="29" t="s">
        <x:v>147</x:v>
      </x:c>
      <x:c r="I40" s="30" t="s">
        <x:v>144</x:v>
      </x:c>
      <x:c r="J40" s="30" t="s">
        <x:v>150</x:v>
      </x:c>
      <x:c r="K40" s="31" t="s">
        <x:v>145</x:v>
      </x:c>
      <x:c r="L40" s="31" t="s">
        <x:v>152</x:v>
      </x:c>
      <x:c r="M40" s="31" t="s">
        <x:v>146</x:v>
      </x:c>
      <x:c r="N40" s="34" t="s">
        <x:v>154</x:v>
      </x:c>
    </x:row>
    <x:row r="41" spans="1:14" ht="20.100000000000001" customHeight="1">
      <x:c r="A41" s="55" t="s">
        <x:v>151</x:v>
      </x:c>
      <x:c r="B41" s="38" t="s">
        <x:v>1679</x:v>
      </x:c>
      <x:c r="C41" s="38" t="s">
        <x:v>56</x:v>
      </x:c>
      <x:c r="D41" s="39">
        <x:v>10000000</x:v>
      </x:c>
      <x:c r="E41" s="39">
        <x:v>739420</x:v>
      </x:c>
      <x:c r="F41" s="40">
        <x:f>+D41+E41</x:f>
        <x:v>10739420</x:v>
      </x:c>
      <x:c r="G41" s="18"/>
      <x:c r="H41" s="41" t="s">
        <x:v>151</x:v>
      </x:c>
      <x:c r="I41" s="38" t="s">
        <x:v>1679</x:v>
      </x:c>
      <x:c r="J41" s="38" t="s">
        <x:v>1678</x:v>
      </x:c>
      <x:c r="K41" s="39"/>
      <x:c r="L41" s="39"/>
      <x:c r="M41" s="40">
        <x:f>+K41+L41</x:f>
        <x:v>0</x:v>
      </x:c>
      <x:c r="N41" s="42"/>
    </x:row>
    <x:row r="42" spans="1:14" ht="20.100000000000001" customHeight="1">
      <x:c r="A42" s="298" t="s">
        <x:v>148</x:v>
      </x:c>
      <x:c r="B42" s="19" t="s">
        <x:v>838</x:v>
      </x:c>
      <x:c r="C42" s="19" t="s">
        <x:v>1007</x:v>
      </x:c>
      <x:c r="D42" s="20">
        <x:v>1024000</x:v>
      </x:c>
      <x:c r="E42" s="20">
        <x:f>+INT(D42*0.1)</x:f>
        <x:v>102400</x:v>
      </x:c>
      <x:c r="F42" s="21">
        <x:f>+D42+E42</x:f>
        <x:v>1126400</x:v>
      </x:c>
      <x:c r="G42" s="22"/>
      <x:c r="H42" s="298" t="s">
        <x:v>148</x:v>
      </x:c>
      <x:c r="I42" s="19" t="s">
        <x:v>838</x:v>
      </x:c>
      <x:c r="J42" s="19" t="s">
        <x:v>942</x:v>
      </x:c>
      <x:c r="K42" s="20">
        <x:v>1600442</x:v>
      </x:c>
      <x:c r="L42" s="20">
        <x:f>+K42*0.1</x:f>
        <x:v>160044.20000000001</x:v>
      </x:c>
      <x:c r="M42" s="21">
        <x:f t="shared" ref="M42:M56" si="7">+K42+L42</x:f>
        <x:v>1760486.2</x:v>
      </x:c>
      <x:c r="N42" s="22"/>
    </x:row>
    <x:row r="43" spans="1:14" ht="20.100000000000001" customHeight="1">
      <x:c r="A43" s="299"/>
      <x:c r="B43" s="3" t="s">
        <x:v>21</x:v>
      </x:c>
      <x:c r="C43" s="3"/>
      <x:c r="D43" s="4"/>
      <x:c r="E43" s="4">
        <x:f t="shared" ref="E43:E55" si="8">+INT(D43*0.1)</x:f>
        <x:v>0</x:v>
      </x:c>
      <x:c r="F43" s="5">
        <x:f>+D43+E43</x:f>
        <x:v>0</x:v>
      </x:c>
      <x:c r="G43" s="6"/>
      <x:c r="H43" s="299"/>
      <x:c r="I43" s="3" t="s">
        <x:v>21</x:v>
      </x:c>
      <x:c r="J43" s="3" t="s">
        <x:v>1691</x:v>
      </x:c>
      <x:c r="K43" s="4">
        <x:v>4026000</x:v>
      </x:c>
      <x:c r="L43" s="4">
        <x:f>+K43*0.1</x:f>
        <x:v>402600</x:v>
      </x:c>
      <x:c r="M43" s="5">
        <x:f t="shared" si="7"/>
        <x:v>4428600</x:v>
      </x:c>
      <x:c r="N43" s="6"/>
    </x:row>
    <x:row r="44" spans="1:14" ht="20.100000000000001" customHeight="1">
      <x:c r="A44" s="299"/>
      <x:c r="B44" s="3" t="s">
        <x:v>34</x:v>
      </x:c>
      <x:c r="C44" s="3" t="s">
        <x:v>352</x:v>
      </x:c>
      <x:c r="D44" s="4">
        <x:v>283500</x:v>
      </x:c>
      <x:c r="E44" s="4">
        <x:f t="shared" si="8"/>
        <x:v>28350</x:v>
      </x:c>
      <x:c r="F44" s="5">
        <x:f>+D44+E44</x:f>
        <x:v>311850</x:v>
      </x:c>
      <x:c r="G44" s="6"/>
      <x:c r="H44" s="299"/>
      <x:c r="I44" s="3" t="s">
        <x:v>34</x:v>
      </x:c>
      <x:c r="J44" s="3" t="s">
        <x:v>623</x:v>
      </x:c>
      <x:c r="K44" s="4">
        <x:v>725160</x:v>
      </x:c>
      <x:c r="L44" s="4">
        <x:f t="shared" ref="L44:L56" si="9">+K44*0.1</x:f>
        <x:v>72516</x:v>
      </x:c>
      <x:c r="M44" s="5">
        <x:f t="shared" si="7"/>
        <x:v>797676</x:v>
      </x:c>
      <x:c r="N44" s="6"/>
    </x:row>
    <x:row r="45" spans="1:14" ht="20.100000000000001" customHeight="1">
      <x:c r="A45" s="299"/>
      <x:c r="B45" s="3" t="s">
        <x:v>840</x:v>
      </x:c>
      <x:c r="C45" s="3"/>
      <x:c r="D45" s="4"/>
      <x:c r="E45" s="4">
        <x:f t="shared" si="8"/>
        <x:v>0</x:v>
      </x:c>
      <x:c r="F45" s="5">
        <x:f>+D45+E45</x:f>
        <x:v>0</x:v>
      </x:c>
      <x:c r="G45" s="6"/>
      <x:c r="H45" s="299"/>
      <x:c r="I45" s="3" t="s">
        <x:v>840</x:v>
      </x:c>
      <x:c r="J45" s="3"/>
      <x:c r="K45" s="4"/>
      <x:c r="L45" s="4">
        <x:f t="shared" si="9"/>
        <x:v>0</x:v>
      </x:c>
      <x:c r="M45" s="5">
        <x:f t="shared" si="7"/>
        <x:v>0</x:v>
      </x:c>
      <x:c r="N45" s="6"/>
    </x:row>
    <x:row r="46" spans="1:14" ht="20.100000000000001" customHeight="1">
      <x:c r="A46" s="299"/>
      <x:c r="B46" s="3" t="s">
        <x:v>892</x:v>
      </x:c>
      <x:c r="C46" s="3"/>
      <x:c r="D46" s="4"/>
      <x:c r="E46" s="4">
        <x:f t="shared" si="8"/>
        <x:v>0</x:v>
      </x:c>
      <x:c r="F46" s="5">
        <x:f t="shared" ref="F46:F55" si="10">+D46+E46</x:f>
        <x:v>0</x:v>
      </x:c>
      <x:c r="G46" s="6"/>
      <x:c r="H46" s="299"/>
      <x:c r="I46" s="3" t="s">
        <x:v>846</x:v>
      </x:c>
      <x:c r="J46" s="3" t="s">
        <x:v>624</x:v>
      </x:c>
      <x:c r="K46" s="4">
        <x:v>1005500</x:v>
      </x:c>
      <x:c r="L46" s="4">
        <x:f t="shared" si="9"/>
        <x:v>100550</x:v>
      </x:c>
      <x:c r="M46" s="5">
        <x:f t="shared" si="7"/>
        <x:v>1106050</x:v>
      </x:c>
      <x:c r="N46" s="6"/>
    </x:row>
    <x:row r="47" spans="1:14" ht="20.100000000000001" customHeight="1">
      <x:c r="A47" s="299"/>
      <x:c r="B47" s="3" t="s">
        <x:v>846</x:v>
      </x:c>
      <x:c r="C47" s="3" t="s">
        <x:v>79</x:v>
      </x:c>
      <x:c r="D47" s="4">
        <x:v>1775576</x:v>
      </x:c>
      <x:c r="E47" s="4">
        <x:f t="shared" si="8"/>
        <x:v>177557</x:v>
      </x:c>
      <x:c r="F47" s="5">
        <x:f t="shared" si="10"/>
        <x:v>1953133</x:v>
      </x:c>
      <x:c r="G47" s="6"/>
      <x:c r="H47" s="299"/>
      <x:c r="I47" s="3"/>
      <x:c r="J47" s="3"/>
      <x:c r="K47" s="4"/>
      <x:c r="L47" s="4">
        <x:f t="shared" si="9"/>
        <x:v>0</x:v>
      </x:c>
      <x:c r="M47" s="5">
        <x:f t="shared" si="7"/>
        <x:v>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 t="shared" si="8"/>
        <x:v>0</x:v>
      </x:c>
      <x:c r="F48" s="5">
        <x:f t="shared" si="10"/>
        <x:v>0</x:v>
      </x:c>
      <x:c r="G48" s="6"/>
      <x:c r="H48" s="299"/>
      <x:c r="I48" s="3"/>
      <x:c r="J48" s="3"/>
      <x:c r="K48" s="4"/>
      <x:c r="L48" s="4">
        <x:f t="shared" si="9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8"/>
        <x:v>0</x:v>
      </x:c>
      <x:c r="F49" s="5">
        <x:f t="shared" si="10"/>
        <x:v>0</x:v>
      </x:c>
      <x:c r="G49" s="6"/>
      <x:c r="H49" s="299"/>
      <x:c r="I49" s="3"/>
      <x:c r="J49" s="3"/>
      <x:c r="K49" s="4"/>
      <x:c r="L49" s="4">
        <x:f t="shared" si="9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8"/>
        <x:v>0</x:v>
      </x:c>
      <x:c r="F50" s="5">
        <x:f t="shared" si="10"/>
        <x:v>0</x:v>
      </x:c>
      <x:c r="G50" s="6"/>
      <x:c r="H50" s="299"/>
      <x:c r="I50" s="3"/>
      <x:c r="J50" s="3"/>
      <x:c r="K50" s="4"/>
      <x:c r="L50" s="4">
        <x:f t="shared" si="9"/>
        <x:v>0</x:v>
      </x:c>
      <x:c r="M50" s="5">
        <x:f t="shared" si="7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8"/>
        <x:v>0</x:v>
      </x:c>
      <x:c r="F51" s="5">
        <x:f t="shared" si="10"/>
        <x:v>0</x:v>
      </x:c>
      <x:c r="G51" s="6"/>
      <x:c r="H51" s="299"/>
      <x:c r="I51" s="3"/>
      <x:c r="J51" s="3"/>
      <x:c r="K51" s="4"/>
      <x:c r="L51" s="4">
        <x:f t="shared" si="9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8"/>
        <x:v>0</x:v>
      </x:c>
      <x:c r="F52" s="5">
        <x:f t="shared" si="10"/>
        <x:v>0</x:v>
      </x:c>
      <x:c r="G52" s="6"/>
      <x:c r="H52" s="299"/>
      <x:c r="I52" s="3"/>
      <x:c r="J52" s="3"/>
      <x:c r="K52" s="4"/>
      <x:c r="L52" s="4">
        <x:f t="shared" si="9"/>
        <x:v>0</x:v>
      </x:c>
      <x:c r="M52" s="5">
        <x:f t="shared" si="7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8"/>
        <x:v>0</x:v>
      </x:c>
      <x:c r="F53" s="5">
        <x:f t="shared" si="10"/>
        <x:v>0</x:v>
      </x:c>
      <x:c r="G53" s="6"/>
      <x:c r="H53" s="299"/>
      <x:c r="I53" s="3"/>
      <x:c r="J53" s="3"/>
      <x:c r="K53" s="4"/>
      <x:c r="L53" s="4">
        <x:f t="shared" si="9"/>
        <x:v>0</x:v>
      </x:c>
      <x:c r="M53" s="5">
        <x:f t="shared" si="7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8"/>
        <x:v>0</x:v>
      </x:c>
      <x:c r="F54" s="5">
        <x:f t="shared" si="10"/>
        <x:v>0</x:v>
      </x:c>
      <x:c r="G54" s="6"/>
      <x:c r="H54" s="299"/>
      <x:c r="I54" s="3"/>
      <x:c r="J54" s="3"/>
      <x:c r="K54" s="4"/>
      <x:c r="L54" s="4">
        <x:f t="shared" si="9"/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8"/>
        <x:v>0</x:v>
      </x:c>
      <x:c r="F55" s="5">
        <x:f t="shared" si="10"/>
        <x:v>0</x:v>
      </x:c>
      <x:c r="G55" s="6"/>
      <x:c r="H55" s="299"/>
      <x:c r="I55" s="3"/>
      <x:c r="J55" s="3"/>
      <x:c r="K55" s="4"/>
      <x:c r="L55" s="4">
        <x:f t="shared" si="9"/>
        <x:v>0</x:v>
      </x:c>
      <x:c r="M55" s="5">
        <x:f t="shared" si="7"/>
        <x:v>0</x:v>
      </x:c>
      <x:c r="N55" s="6"/>
    </x:row>
    <x:row r="56" spans="1:14" ht="20.100000000000001" customHeight="1">
      <x:c r="A56" s="300"/>
      <x:c r="B56" s="3"/>
      <x:c r="C56" s="3"/>
      <x:c r="D56" s="4"/>
      <x:c r="E56" s="4"/>
      <x:c r="F56" s="5"/>
      <x:c r="G56" s="6"/>
      <x:c r="H56" s="300"/>
      <x:c r="I56" s="3"/>
      <x:c r="J56" s="3"/>
      <x:c r="K56" s="4"/>
      <x:c r="L56" s="4">
        <x:f t="shared" si="9"/>
        <x:v>0</x:v>
      </x:c>
      <x:c r="M56" s="5">
        <x:f t="shared" si="7"/>
        <x:v>0</x:v>
      </x:c>
      <x:c r="N56" s="6"/>
    </x:row>
    <x:row r="57" spans="1:14" ht="20.100000000000001" customHeight="1">
      <x:c r="A57" s="7" t="s">
        <x:v>155</x:v>
      </x:c>
      <x:c r="B57" s="8"/>
      <x:c r="C57" s="8"/>
      <x:c r="D57" s="9">
        <x:f>SUM(D42:D56)</x:f>
        <x:v>3083076</x:v>
      </x:c>
      <x:c r="E57" s="9">
        <x:f>SUM(E42:E56)</x:f>
        <x:v>308307</x:v>
      </x:c>
      <x:c r="F57" s="10">
        <x:f>SUM(F42:F56)</x:f>
        <x:v>3391383</x:v>
      </x:c>
      <x:c r="G57" s="11"/>
      <x:c r="H57" s="7"/>
      <x:c r="I57" s="8"/>
      <x:c r="J57" s="8"/>
      <x:c r="K57" s="9">
        <x:f>SUM(K42:K56)</x:f>
        <x:v>7357102</x:v>
      </x:c>
      <x:c r="L57" s="9">
        <x:f>SUM(L42:L56)</x:f>
        <x:v>735710.19999999995</x:v>
      </x:c>
      <x:c r="M57" s="10">
        <x:f>SUM(M42:M56)</x:f>
        <x:v>8092812.2000000002</x:v>
      </x:c>
      <x:c r="N57" s="11"/>
    </x:row>
    <x:row r="58" spans="1:14" ht="20.100000000000001" customHeight="1">
      <x:c r="A58" s="301" t="s">
        <x:v>153</x:v>
      </x:c>
      <x:c r="B58" s="3" t="s">
        <x:v>1677</x:v>
      </x:c>
      <x:c r="C58" s="3"/>
      <x:c r="D58" s="44">
        <x:v>12310000</x:v>
      </x:c>
      <x:c r="E58" s="44"/>
      <x:c r="F58" s="45">
        <x:f>+D58+E58</x:f>
        <x:v>12310000</x:v>
      </x:c>
      <x:c r="G58" s="37"/>
      <x:c r="H58" s="301" t="s">
        <x:v>153</x:v>
      </x:c>
      <x:c r="I58" s="3" t="s">
        <x:v>1677</x:v>
      </x:c>
      <x:c r="J58" s="3"/>
      <x:c r="K58" s="4">
        <x:v>12040000</x:v>
      </x:c>
      <x:c r="L58" s="4"/>
      <x:c r="M58" s="5">
        <x:f>+K58+L58</x:f>
        <x:v>12040000</x:v>
      </x:c>
      <x:c r="N58" s="6"/>
    </x:row>
    <x:row r="59" spans="1:14" ht="20.100000000000001" customHeight="1">
      <x:c r="A59" s="299"/>
      <x:c r="B59" s="3"/>
      <x:c r="C59" s="3"/>
      <x:c r="D59" s="44"/>
      <x:c r="E59" s="44">
        <x:f>+D59*0.1</x:f>
        <x:v>0</x:v>
      </x:c>
      <x:c r="F59" s="45">
        <x:f>+D59+E59</x:f>
        <x:v>0</x:v>
      </x:c>
      <x:c r="G59" s="37"/>
      <x:c r="H59" s="299"/>
      <x:c r="I59" s="3"/>
      <x:c r="J59" s="3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299"/>
      <x:c r="B60" s="3"/>
      <x:c r="C60" s="3"/>
      <x:c r="D60" s="4"/>
      <x:c r="E60" s="4">
        <x:f>+D60*0.1</x:f>
        <x:v>0</x:v>
      </x:c>
      <x:c r="F60" s="5">
        <x:f>+D60+E60</x:f>
        <x:v>0</x:v>
      </x:c>
      <x:c r="G60" s="6"/>
      <x:c r="H60" s="299"/>
      <x:c r="I60" s="3"/>
      <x:c r="J60" s="3"/>
      <x:c r="K60" s="4"/>
      <x:c r="L60" s="4">
        <x:f>+K60*0.1</x:f>
        <x:v>0</x:v>
      </x:c>
      <x:c r="M60" s="5">
        <x:f>+K60+L60</x:f>
        <x:v>0</x:v>
      </x:c>
      <x:c r="N60" s="6"/>
    </x:row>
    <x:row r="61" spans="1:14" ht="20.100000000000001" customHeight="1">
      <x:c r="A61" s="300"/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6"/>
      <x:c r="H61" s="300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7" t="s">
        <x:v>155</x:v>
      </x:c>
      <x:c r="B62" s="8"/>
      <x:c r="C62" s="8"/>
      <x:c r="D62" s="9">
        <x:f>SUM(D58:D61)</x:f>
        <x:v>12310000</x:v>
      </x:c>
      <x:c r="E62" s="9">
        <x:f>SUM(E58:E61)</x:f>
        <x:v>0</x:v>
      </x:c>
      <x:c r="F62" s="10">
        <x:f>SUM(F58:F61)</x:f>
        <x:v>12310000</x:v>
      </x:c>
      <x:c r="G62" s="11"/>
      <x:c r="H62" s="7"/>
      <x:c r="I62" s="8"/>
      <x:c r="J62" s="8"/>
      <x:c r="K62" s="9">
        <x:f>SUM(K58:K61)</x:f>
        <x:v>12040000</x:v>
      </x:c>
      <x:c r="L62" s="9">
        <x:f>SUM(L58:L61)</x:f>
        <x:v>0</x:v>
      </x:c>
      <x:c r="M62" s="10">
        <x:f>SUM(M58:M61)</x:f>
        <x:v>12040000</x:v>
      </x:c>
      <x:c r="N62" s="11"/>
    </x:row>
    <x:row r="63" spans="1:14" ht="20.100000000000001" customHeight="1">
      <x:c r="A63" s="301" t="s">
        <x:v>187</x:v>
      </x:c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1" t="s">
        <x:v>187</x:v>
      </x:c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299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299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7" t="s">
        <x:v>155</x:v>
      </x:c>
      <x:c r="B67" s="8"/>
      <x:c r="C67" s="8"/>
      <x:c r="D67" s="9">
        <x:f>SUM(D63:D66)</x:f>
        <x:v>0</x:v>
      </x:c>
      <x:c r="E67" s="9">
        <x:f>SUM(E63:E66)</x:f>
        <x:v>0</x:v>
      </x:c>
      <x:c r="F67" s="10">
        <x:f>SUM(F63:F66)</x:f>
        <x:v>0</x:v>
      </x:c>
      <x:c r="G67" s="11"/>
      <x:c r="H67" s="7"/>
      <x:c r="I67" s="8"/>
      <x:c r="J67" s="8"/>
      <x:c r="K67" s="9">
        <x:f>SUM(K63:K66)</x:f>
        <x:v>0</x:v>
      </x:c>
      <x:c r="L67" s="9">
        <x:f>SUM(L63:L66)</x:f>
        <x:v>0</x:v>
      </x:c>
      <x:c r="M67" s="10">
        <x:f>SUM(M63:M66)</x:f>
        <x:v>0</x:v>
      </x:c>
      <x:c r="N67" s="11"/>
    </x:row>
    <x:row r="68" spans="1:14" ht="20.100000000000001" customHeight="1">
      <x:c r="A68" s="301" t="s">
        <x:v>149</x:v>
      </x:c>
      <x:c r="B68" s="3" t="s">
        <x:v>172</x:v>
      </x:c>
      <x:c r="C68" s="3" t="s">
        <x:v>66</x:v>
      </x:c>
      <x:c r="D68" s="4">
        <x:v>450000</x:v>
      </x:c>
      <x:c r="E68" s="4"/>
      <x:c r="F68" s="5">
        <x:f>+D68+E68</x:f>
        <x:v>450000</x:v>
      </x:c>
      <x:c r="G68" s="6"/>
      <x:c r="H68" s="301" t="s">
        <x:v>149</x:v>
      </x:c>
      <x:c r="I68" s="3" t="s">
        <x:v>177</x:v>
      </x:c>
      <x:c r="J68" s="3" t="s">
        <x:v>837</x:v>
      </x:c>
      <x:c r="K68" s="4">
        <x:v>813900</x:v>
      </x:c>
      <x:c r="L68" s="4"/>
      <x:c r="M68" s="5">
        <x:f t="shared" ref="M68:M75" si="11">+K68+L68</x:f>
        <x:v>813900</x:v>
      </x:c>
      <x:c r="N68" s="6"/>
    </x:row>
    <x:row r="69" spans="1:14" ht="20.100000000000001" customHeight="1">
      <x:c r="A69" s="299"/>
      <x:c r="B69" s="3" t="s">
        <x:v>177</x:v>
      </x:c>
      <x:c r="C69" s="3" t="s">
        <x:v>149</x:v>
      </x:c>
      <x:c r="D69" s="4">
        <x:v>224100</x:v>
      </x:c>
      <x:c r="E69" s="4"/>
      <x:c r="F69" s="5">
        <x:f>+D69+E69</x:f>
        <x:v>224100</x:v>
      </x:c>
      <x:c r="G69" s="6"/>
      <x:c r="H69" s="299"/>
      <x:c r="I69" s="3" t="s">
        <x:v>919</x:v>
      </x:c>
      <x:c r="J69" s="3" t="s">
        <x:v>914</x:v>
      </x:c>
      <x:c r="K69" s="4">
        <x:v>40000</x:v>
      </x:c>
      <x:c r="L69" s="4">
        <x:f>+K69*0.1</x:f>
        <x:v>4000</x:v>
      </x:c>
      <x:c r="M69" s="5">
        <x:f t="shared" si="11"/>
        <x:v>44000</x:v>
      </x:c>
      <x:c r="N69" s="6"/>
    </x:row>
    <x:row r="70" spans="1:14" ht="20.100000000000001" customHeight="1">
      <x:c r="A70" s="299"/>
      <x:c r="B70" s="3" t="s">
        <x:v>158</x:v>
      </x:c>
      <x:c r="C70" s="3" t="s">
        <x:v>149</x:v>
      </x:c>
      <x:c r="D70" s="4"/>
      <x:c r="E70" s="4"/>
      <x:c r="F70" s="5">
        <x:f>+D70+E70</x:f>
        <x:v>0</x:v>
      </x:c>
      <x:c r="G70" s="6"/>
      <x:c r="H70" s="299"/>
      <x:c r="I70" s="3" t="s">
        <x:v>926</x:v>
      </x:c>
      <x:c r="J70" s="3" t="s">
        <x:v>927</x:v>
      </x:c>
      <x:c r="K70" s="4">
        <x:v>367870</x:v>
      </x:c>
      <x:c r="L70" s="4"/>
      <x:c r="M70" s="5">
        <x:f t="shared" si="11"/>
        <x:v>367870</x:v>
      </x:c>
      <x:c r="N70" s="6"/>
    </x:row>
    <x:row r="71" spans="1:14" ht="20.100000000000001" customHeight="1">
      <x:c r="A71" s="299"/>
      <x:c r="B71" s="3" t="s">
        <x:v>924</x:v>
      </x:c>
      <x:c r="C71" s="3" t="s">
        <x:v>167</x:v>
      </x:c>
      <x:c r="D71" s="4">
        <x:v>30000</x:v>
      </x:c>
      <x:c r="E71" s="4">
        <x:f>+D71*0.1</x:f>
        <x:v>3000</x:v>
      </x:c>
      <x:c r="F71" s="5">
        <x:f t="shared" ref="F71:F77" si="12">+D71+E71</x:f>
        <x:v>33000</x:v>
      </x:c>
      <x:c r="G71" s="6"/>
      <x:c r="H71" s="299"/>
      <x:c r="I71" s="3" t="s">
        <x:v>945</x:v>
      </x:c>
      <x:c r="J71" s="3" t="s">
        <x:v>962</x:v>
      </x:c>
      <x:c r="K71" s="4">
        <x:v>306000</x:v>
      </x:c>
      <x:c r="L71" s="4">
        <x:f>+K71*0.1</x:f>
        <x:v>30600</x:v>
      </x:c>
      <x:c r="M71" s="5">
        <x:f t="shared" si="11"/>
        <x:v>336600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+D72*0.1</x:f>
        <x:v>10000</x:v>
      </x:c>
      <x:c r="F72" s="5">
        <x:f t="shared" si="12"/>
        <x:v>110000</x:v>
      </x:c>
      <x:c r="G72" s="6"/>
      <x:c r="H72" s="299"/>
      <x:c r="I72" s="3"/>
      <x:c r="J72" s="3"/>
      <x:c r="K72" s="4"/>
      <x:c r="L72" s="4">
        <x:f>+K72*0.1</x:f>
        <x:v>0</x:v>
      </x:c>
      <x:c r="M72" s="5">
        <x:f t="shared" si="11"/>
        <x:v>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220000</x:v>
      </x:c>
      <x:c r="E73" s="4">
        <x:f>+D73*0.1</x:f>
        <x:v>22000</x:v>
      </x:c>
      <x:c r="F73" s="5">
        <x:f t="shared" si="12"/>
        <x:v>242000</x:v>
      </x:c>
      <x:c r="G73" s="6"/>
      <x:c r="H73" s="299"/>
      <x:c r="I73" s="3"/>
      <x:c r="J73" s="3"/>
      <x:c r="K73" s="4"/>
      <x:c r="L73" s="4">
        <x:f>+K73*0.1</x:f>
        <x:v>0</x:v>
      </x:c>
      <x:c r="M73" s="5">
        <x:f t="shared" si="11"/>
        <x:v>0</x:v>
      </x:c>
      <x:c r="N73" s="6"/>
    </x:row>
    <x:row r="74" spans="1:14" ht="20.100000000000001" customHeight="1">
      <x:c r="A74" s="299"/>
      <x:c r="B74" s="3"/>
      <x:c r="C74" s="3"/>
      <x:c r="D74" s="4"/>
      <x:c r="E74" s="4">
        <x:f>+D74*0.1</x:f>
        <x:v>0</x:v>
      </x:c>
      <x:c r="F74" s="5">
        <x:f t="shared" si="12"/>
        <x:v>0</x:v>
      </x:c>
      <x:c r="G74" s="6"/>
      <x:c r="H74" s="299"/>
      <x:c r="I74" s="3"/>
      <x:c r="J74" s="3"/>
      <x:c r="K74" s="4"/>
      <x:c r="L74" s="4">
        <x:f>+K74*0.1</x:f>
        <x:v>0</x:v>
      </x:c>
      <x:c r="M74" s="5">
        <x:f t="shared" si="11"/>
        <x:v>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2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1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2"/>
        <x:v>0</x:v>
      </x:c>
      <x:c r="G76" s="6"/>
      <x:c r="H76" s="299"/>
      <x:c r="I76" s="3"/>
      <x:c r="J76" s="3"/>
      <x:c r="K76" s="4"/>
      <x:c r="L76" s="4"/>
      <x:c r="M76" s="5"/>
      <x:c r="N76" s="6"/>
    </x:row>
    <x:row r="77" spans="1:14" ht="20.100000000000001" customHeight="1">
      <x:c r="A77" s="300"/>
      <x:c r="B77" s="3"/>
      <x:c r="C77" s="3"/>
      <x:c r="D77" s="4"/>
      <x:c r="E77" s="4"/>
      <x:c r="F77" s="5">
        <x:f t="shared" si="12"/>
        <x:v>0</x:v>
      </x:c>
      <x:c r="G77" s="6"/>
      <x:c r="H77" s="300"/>
      <x:c r="I77" s="3"/>
      <x:c r="J77" s="3"/>
      <x:c r="K77" s="4"/>
      <x:c r="L77" s="4">
        <x:f>+K77*0.1</x:f>
        <x:v>0</x:v>
      </x:c>
      <x:c r="M77" s="5">
        <x:f>+K77+L77</x:f>
        <x:v>0</x:v>
      </x:c>
      <x:c r="N77" s="6"/>
    </x:row>
    <x:row r="78" spans="1:14" ht="20.100000000000001" customHeight="1">
      <x:c r="A78" s="7" t="s">
        <x:v>155</x:v>
      </x:c>
      <x:c r="B78" s="8"/>
      <x:c r="C78" s="8"/>
      <x:c r="D78" s="9">
        <x:f>SUM(D68:D77)</x:f>
        <x:v>1024100</x:v>
      </x:c>
      <x:c r="E78" s="9">
        <x:f>SUM(E68:E77)</x:f>
        <x:v>35000</x:v>
      </x:c>
      <x:c r="F78" s="10">
        <x:f>SUM(F68:F77)</x:f>
        <x:v>1059100</x:v>
      </x:c>
      <x:c r="G78" s="11"/>
      <x:c r="H78" s="7"/>
      <x:c r="I78" s="8"/>
      <x:c r="J78" s="8"/>
      <x:c r="K78" s="9">
        <x:f>SUM(K68:K77)</x:f>
        <x:v>1527770</x:v>
      </x:c>
      <x:c r="L78" s="9">
        <x:f>SUM(L68:L77)</x:f>
        <x:v>34600</x:v>
      </x:c>
      <x:c r="M78" s="10">
        <x:f>SUM(M68:M77)</x:f>
        <x:v>1562370</x:v>
      </x:c>
      <x:c r="N78" s="11"/>
    </x:row>
    <x:row r="79" spans="1:14" ht="20.100000000000001" customHeight="1">
      <x:c r="A79" s="12" t="s">
        <x:v>1690</x:v>
      </x:c>
      <x:c r="B79" s="13"/>
      <x:c r="C79" s="13"/>
      <x:c r="D79" s="14">
        <x:f>+D57+D62+D67+D78</x:f>
        <x:v>16417176</x:v>
      </x:c>
      <x:c r="E79" s="14">
        <x:f>+E57+E62+E67+E78</x:f>
        <x:v>343307</x:v>
      </x:c>
      <x:c r="F79" s="15">
        <x:f>+F57+F62+F67+F78</x:f>
        <x:v>16760483</x:v>
      </x:c>
      <x:c r="G79" s="16"/>
      <x:c r="H79" s="12"/>
      <x:c r="I79" s="13"/>
      <x:c r="J79" s="13"/>
      <x:c r="K79" s="14">
        <x:f>+K57+K62+K67+K78</x:f>
        <x:v>20924872</x:v>
      </x:c>
      <x:c r="L79" s="14">
        <x:f>+L57+L62+L67+L78</x:f>
        <x:v>770310.19999999995</x:v>
      </x:c>
      <x:c r="M79" s="15">
        <x:f>+M57+M62+M67+M78</x:f>
        <x:v>21695182.199999999</x:v>
      </x:c>
      <x:c r="N79" s="16"/>
    </x:row>
    <x:row r="80" spans="1:14" ht="20.100000000000001" customHeight="1">
      <x:c r="A80" s="23" t="s">
        <x:v>35</x:v>
      </x:c>
      <x:c r="B80" s="24"/>
      <x:c r="C80" s="24"/>
      <x:c r="D80" s="25">
        <x:f>+D41-D79</x:f>
        <x:v>-6417176</x:v>
      </x:c>
      <x:c r="E80" s="25">
        <x:f>+E41-E79</x:f>
        <x:v>396113</x:v>
      </x:c>
      <x:c r="F80" s="26">
        <x:f>+F41-F79</x:f>
        <x:v>-6021063</x:v>
      </x:c>
      <x:c r="G80" s="27"/>
      <x:c r="H80" s="23"/>
      <x:c r="I80" s="24"/>
      <x:c r="J80" s="24"/>
      <x:c r="K80" s="25">
        <x:f>+K41-K79</x:f>
        <x:v>-20924872</x:v>
      </x:c>
      <x:c r="L80" s="25">
        <x:f>+L41-L79</x:f>
        <x:v>-770310.19999999995</x:v>
      </x:c>
      <x:c r="M80" s="26">
        <x:f>+M41-M79</x:f>
        <x:v>-21695182.199999999</x:v>
      </x:c>
      <x:c r="N80" s="27"/>
    </x:row>
    <x:row r="81" spans="1:14" ht="20.100000000000001" customHeight="1">
      <x:c r="A81" s="302" t="s">
        <x:v>359</x:v>
      </x:c>
      <x:c r="B81" s="303"/>
      <x:c r="C81" s="303"/>
      <x:c r="D81" s="303"/>
      <x:c r="E81" s="303"/>
      <x:c r="F81" s="304"/>
      <x:c r="G81" s="305"/>
      <x:c r="H81" s="302" t="s">
        <x:v>86</x:v>
      </x:c>
      <x:c r="I81" s="303"/>
      <x:c r="J81" s="303"/>
      <x:c r="K81" s="303"/>
      <x:c r="L81" s="303"/>
      <x:c r="M81" s="304"/>
      <x:c r="N81" s="305"/>
    </x:row>
    <x:row r="82" spans="1:14" ht="20.100000000000001" customHeight="1">
      <x:c r="A82" s="29" t="s">
        <x:v>147</x:v>
      </x:c>
      <x:c r="B82" s="30" t="s">
        <x:v>144</x:v>
      </x:c>
      <x:c r="C82" s="30" t="s">
        <x:v>150</x:v>
      </x:c>
      <x:c r="D82" s="31" t="s">
        <x:v>145</x:v>
      </x:c>
      <x:c r="E82" s="31" t="s">
        <x:v>152</x:v>
      </x:c>
      <x:c r="F82" s="32" t="s">
        <x:v>146</x:v>
      </x:c>
      <x:c r="G82" s="33" t="s">
        <x:v>154</x:v>
      </x:c>
      <x:c r="H82" s="29" t="s">
        <x:v>147</x:v>
      </x:c>
      <x:c r="I82" s="30" t="s">
        <x:v>144</x:v>
      </x:c>
      <x:c r="J82" s="30" t="s">
        <x:v>150</x:v>
      </x:c>
      <x:c r="K82" s="31" t="s">
        <x:v>145</x:v>
      </x:c>
      <x:c r="L82" s="31" t="s">
        <x:v>152</x:v>
      </x:c>
      <x:c r="M82" s="31" t="s">
        <x:v>146</x:v>
      </x:c>
      <x:c r="N82" s="34" t="s">
        <x:v>154</x:v>
      </x:c>
    </x:row>
    <x:row r="83" spans="1:14" ht="20.100000000000001" customHeight="1">
      <x:c r="A83" s="55" t="s">
        <x:v>151</x:v>
      </x:c>
      <x:c r="B83" s="38" t="s">
        <x:v>1679</x:v>
      </x:c>
      <x:c r="C83" s="38" t="s">
        <x:v>1015</x:v>
      </x:c>
      <x:c r="D83" s="39"/>
      <x:c r="E83" s="39">
        <x:f>+D83*0.1</x:f>
        <x:v>0</x:v>
      </x:c>
      <x:c r="F83" s="40">
        <x:f>+D83+E83</x:f>
        <x:v>0</x:v>
      </x:c>
      <x:c r="G83" s="18"/>
      <x:c r="H83" s="41" t="s">
        <x:v>151</x:v>
      </x:c>
      <x:c r="I83" s="38" t="s">
        <x:v>1679</x:v>
      </x:c>
      <x:c r="J83" s="38" t="s">
        <x:v>620</x:v>
      </x:c>
      <x:c r="K83" s="39"/>
      <x:c r="L83" s="39"/>
      <x:c r="M83" s="40">
        <x:f>+K83+L83</x:f>
        <x:v>0</x:v>
      </x:c>
      <x:c r="N83" s="42"/>
    </x:row>
    <x:row r="84" spans="1:14" ht="20.100000000000001" customHeight="1">
      <x:c r="A84" s="298" t="s">
        <x:v>148</x:v>
      </x:c>
      <x:c r="B84" s="19" t="s">
        <x:v>1022</x:v>
      </x:c>
      <x:c r="C84" s="19" t="s">
        <x:v>1012</x:v>
      </x:c>
      <x:c r="D84" s="20">
        <x:v>700000</x:v>
      </x:c>
      <x:c r="E84" s="20">
        <x:f>+INT(D84*0.1)</x:f>
        <x:v>70000</x:v>
      </x:c>
      <x:c r="F84" s="21">
        <x:f>+D84+E84</x:f>
        <x:v>770000</x:v>
      </x:c>
      <x:c r="G84" s="22"/>
      <x:c r="H84" s="298" t="s">
        <x:v>148</x:v>
      </x:c>
      <x:c r="I84" s="19" t="s">
        <x:v>21</x:v>
      </x:c>
      <x:c r="J84" s="19" t="s">
        <x:v>1000</x:v>
      </x:c>
      <x:c r="K84" s="20">
        <x:v>819320</x:v>
      </x:c>
      <x:c r="L84" s="20">
        <x:f>+K84*0.1</x:f>
        <x:v>81932</x:v>
      </x:c>
      <x:c r="M84" s="21">
        <x:f t="shared" ref="M84:M98" si="13">+K84+L84</x:f>
        <x:v>901252</x:v>
      </x:c>
      <x:c r="N84" s="22"/>
    </x:row>
    <x:row r="85" spans="1:14" ht="20.100000000000001" customHeight="1">
      <x:c r="A85" s="299"/>
      <x:c r="B85" s="3" t="s">
        <x:v>21</x:v>
      </x:c>
      <x:c r="C85" s="3" t="s">
        <x:v>989</x:v>
      </x:c>
      <x:c r="D85" s="4">
        <x:v>190235</x:v>
      </x:c>
      <x:c r="E85" s="4">
        <x:f t="shared" ref="E85:E97" si="14">+INT(D85*0.1)</x:f>
        <x:v>19023</x:v>
      </x:c>
      <x:c r="F85" s="5">
        <x:f>+D85+E85</x:f>
        <x:v>209258</x:v>
      </x:c>
      <x:c r="G85" s="6"/>
      <x:c r="H85" s="299"/>
      <x:c r="I85" s="3" t="s">
        <x:v>840</x:v>
      </x:c>
      <x:c r="J85" s="3" t="s">
        <x:v>625</x:v>
      </x:c>
      <x:c r="K85" s="4">
        <x:v>6141800</x:v>
      </x:c>
      <x:c r="L85" s="4">
        <x:f>+K85*0.1</x:f>
        <x:v>614180</x:v>
      </x:c>
      <x:c r="M85" s="5">
        <x:f t="shared" si="13"/>
        <x:v>6755980</x:v>
      </x:c>
      <x:c r="N85" s="6"/>
    </x:row>
    <x:row r="86" spans="1:14" ht="20.100000000000001" customHeight="1">
      <x:c r="A86" s="299"/>
      <x:c r="B86" s="3" t="s">
        <x:v>846</x:v>
      </x:c>
      <x:c r="C86" s="3" t="s">
        <x:v>932</x:v>
      </x:c>
      <x:c r="D86" s="4">
        <x:v>75500</x:v>
      </x:c>
      <x:c r="E86" s="4">
        <x:f t="shared" si="14"/>
        <x:v>7550</x:v>
      </x:c>
      <x:c r="F86" s="5">
        <x:f>+D86+E86</x:f>
        <x:v>83050</x:v>
      </x:c>
      <x:c r="G86" s="6"/>
      <x:c r="H86" s="299"/>
      <x:c r="I86" s="3" t="s">
        <x:v>846</x:v>
      </x:c>
      <x:c r="J86" s="3"/>
      <x:c r="K86" s="4"/>
      <x:c r="L86" s="4">
        <x:f t="shared" ref="L86:L98" si="15">+K86*0.1</x:f>
        <x:v>0</x:v>
      </x:c>
      <x:c r="M86" s="5">
        <x:f t="shared" si="13"/>
        <x:v>0</x:v>
      </x:c>
      <x:c r="N86" s="6"/>
    </x:row>
    <x:row r="87" spans="1:14" ht="20.100000000000001" customHeight="1">
      <x:c r="A87" s="299"/>
      <x:c r="B87" s="3"/>
      <x:c r="C87" s="3"/>
      <x:c r="D87" s="4"/>
      <x:c r="E87" s="4">
        <x:f t="shared" si="14"/>
        <x:v>0</x:v>
      </x:c>
      <x:c r="F87" s="5">
        <x:f t="shared" ref="F87:F97" si="16">+D87+E87</x:f>
        <x:v>0</x:v>
      </x:c>
      <x:c r="G87" s="6"/>
      <x:c r="H87" s="299"/>
      <x:c r="I87" s="3"/>
      <x:c r="J87" s="3"/>
      <x:c r="K87" s="4"/>
      <x:c r="L87" s="4">
        <x:f t="shared" si="15"/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/>
      <x:c r="C88" s="3"/>
      <x:c r="D88" s="4"/>
      <x:c r="E88" s="4">
        <x:f t="shared" si="14"/>
        <x:v>0</x:v>
      </x:c>
      <x:c r="F88" s="5">
        <x:f t="shared" si="16"/>
        <x:v>0</x:v>
      </x:c>
      <x:c r="G88" s="6"/>
      <x:c r="H88" s="299"/>
      <x:c r="I88" s="3"/>
      <x:c r="J88" s="3"/>
      <x:c r="K88" s="4"/>
      <x:c r="L88" s="4">
        <x:f t="shared" si="15"/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/>
      <x:c r="C89" s="3"/>
      <x:c r="D89" s="4"/>
      <x:c r="E89" s="4">
        <x:f t="shared" si="14"/>
        <x:v>0</x:v>
      </x:c>
      <x:c r="F89" s="5">
        <x:f t="shared" si="16"/>
        <x:v>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/>
      <x:c r="C90" s="3"/>
      <x:c r="D90" s="4"/>
      <x:c r="E90" s="4">
        <x:f t="shared" si="14"/>
        <x:v>0</x:v>
      </x:c>
      <x:c r="F90" s="5">
        <x:f t="shared" si="16"/>
        <x:v>0</x:v>
      </x:c>
      <x:c r="G90" s="6"/>
      <x:c r="H90" s="299"/>
      <x:c r="I90" s="3"/>
      <x:c r="J90" s="3"/>
      <x:c r="K90" s="4"/>
      <x:c r="L90" s="4">
        <x:f t="shared" si="15"/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 t="shared" si="16"/>
        <x:v>0</x:v>
      </x:c>
      <x:c r="G91" s="6"/>
      <x:c r="H91" s="299"/>
      <x:c r="I91" s="3"/>
      <x:c r="J91" s="3"/>
      <x:c r="K91" s="4"/>
      <x:c r="L91" s="4">
        <x:f t="shared" si="15"/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si="16"/>
        <x:v>0</x:v>
      </x:c>
      <x:c r="G92" s="6"/>
      <x:c r="H92" s="299"/>
      <x:c r="I92" s="3"/>
      <x:c r="J92" s="3"/>
      <x:c r="K92" s="4"/>
      <x:c r="L92" s="4">
        <x:f t="shared" si="15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6"/>
        <x:v>0</x:v>
      </x:c>
      <x:c r="G93" s="6"/>
      <x:c r="H93" s="299"/>
      <x:c r="I93" s="3"/>
      <x:c r="J93" s="3"/>
      <x:c r="K93" s="4"/>
      <x:c r="L93" s="4">
        <x:f t="shared" si="15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6"/>
        <x:v>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6"/>
        <x:v>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300"/>
      <x:c r="B98" s="3"/>
      <x:c r="C98" s="3"/>
      <x:c r="D98" s="4"/>
      <x:c r="E98" s="4"/>
      <x:c r="F98" s="5"/>
      <x:c r="G98" s="6"/>
      <x:c r="H98" s="300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7" t="s">
        <x:v>155</x:v>
      </x:c>
      <x:c r="B99" s="8"/>
      <x:c r="C99" s="8"/>
      <x:c r="D99" s="9">
        <x:f>SUM(D84:D98)</x:f>
        <x:v>965735</x:v>
      </x:c>
      <x:c r="E99" s="9">
        <x:f>SUM(E84:E98)</x:f>
        <x:v>96573</x:v>
      </x:c>
      <x:c r="F99" s="10">
        <x:f>SUM(F84:F98)</x:f>
        <x:v>1062308</x:v>
      </x:c>
      <x:c r="G99" s="11"/>
      <x:c r="H99" s="7"/>
      <x:c r="I99" s="8"/>
      <x:c r="J99" s="8"/>
      <x:c r="K99" s="9">
        <x:f>SUM(K84:K98)</x:f>
        <x:v>6961120</x:v>
      </x:c>
      <x:c r="L99" s="9">
        <x:f>SUM(L84:L98)</x:f>
        <x:v>696112</x:v>
      </x:c>
      <x:c r="M99" s="10">
        <x:f>SUM(M84:M98)</x:f>
        <x:v>7657232</x:v>
      </x:c>
      <x:c r="N99" s="11"/>
    </x:row>
    <x:row r="100" spans="1:14" ht="20.100000000000001" customHeight="1">
      <x:c r="A100" s="301" t="s">
        <x:v>153</x:v>
      </x:c>
      <x:c r="B100" s="3"/>
      <x:c r="C100" s="3"/>
      <x:c r="D100" s="44"/>
      <x:c r="E100" s="44">
        <x:f>+D100*0.1</x:f>
        <x:v>0</x:v>
      </x:c>
      <x:c r="F100" s="45">
        <x:f>+D100+E100</x:f>
        <x:v>0</x:v>
      </x:c>
      <x:c r="G100" s="37"/>
      <x:c r="H100" s="301" t="s">
        <x:v>153</x:v>
      </x:c>
      <x:c r="I100" s="3"/>
      <x:c r="J100" s="3"/>
      <x:c r="K100" s="4"/>
      <x:c r="L100" s="4"/>
      <x:c r="M100" s="5">
        <x:f>+K100+L100</x:f>
        <x:v>0</x:v>
      </x:c>
      <x:c r="N100" s="6"/>
    </x:row>
    <x:row r="101" spans="1:14" ht="20.100000000000001" customHeight="1">
      <x:c r="A101" s="299"/>
      <x:c r="B101" s="3"/>
      <x:c r="C101" s="3"/>
      <x:c r="D101" s="44"/>
      <x:c r="E101" s="44">
        <x:f>+D101*0.1</x:f>
        <x:v>0</x:v>
      </x:c>
      <x:c r="F101" s="45">
        <x:f>+D101+E101</x:f>
        <x:v>0</x:v>
      </x:c>
      <x:c r="G101" s="37"/>
      <x:c r="H101" s="299"/>
      <x:c r="I101" s="3"/>
      <x:c r="J101" s="3"/>
      <x:c r="K101" s="4"/>
      <x:c r="L101" s="4">
        <x:f>+K101*0.1</x:f>
        <x:v>0</x:v>
      </x:c>
      <x:c r="M101" s="5">
        <x:f>+K101+L101</x:f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299"/>
      <x:c r="I102" s="3"/>
      <x:c r="J102" s="3"/>
      <x:c r="K102" s="4"/>
      <x:c r="L102" s="4">
        <x:f>+K102*0.1</x:f>
        <x:v>0</x:v>
      </x:c>
      <x:c r="M102" s="5">
        <x:f>+K102+L102</x:f>
        <x:v>0</x:v>
      </x:c>
      <x:c r="N102" s="6"/>
    </x:row>
    <x:row r="103" spans="1:14" ht="20.100000000000001" customHeight="1">
      <x:c r="A103" s="300"/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300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7" t="s">
        <x:v>155</x:v>
      </x:c>
      <x:c r="B104" s="8"/>
      <x:c r="C104" s="8"/>
      <x:c r="D104" s="9">
        <x:f>SUM(D100:D103)</x:f>
        <x:v>0</x:v>
      </x:c>
      <x:c r="E104" s="9">
        <x:f>SUM(E100:E103)</x:f>
        <x:v>0</x:v>
      </x:c>
      <x:c r="F104" s="10">
        <x:f>SUM(F100:F103)</x:f>
        <x:v>0</x:v>
      </x:c>
      <x:c r="G104" s="11"/>
      <x:c r="H104" s="7"/>
      <x:c r="I104" s="8"/>
      <x:c r="J104" s="8"/>
      <x:c r="K104" s="9">
        <x:f>SUM(K100:K103)</x:f>
        <x:v>0</x:v>
      </x:c>
      <x:c r="L104" s="9">
        <x:f>SUM(L100:L103)</x:f>
        <x:v>0</x:v>
      </x:c>
      <x:c r="M104" s="10">
        <x:f>SUM(M100:M103)</x:f>
        <x:v>0</x:v>
      </x:c>
      <x:c r="N104" s="11"/>
    </x:row>
    <x:row r="105" spans="1:14" ht="20.100000000000001" customHeight="1">
      <x:c r="A105" s="301" t="s">
        <x:v>187</x:v>
      </x:c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1" t="s">
        <x:v>187</x:v>
      </x:c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299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299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300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300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7" t="s">
        <x:v>155</x:v>
      </x:c>
      <x:c r="B109" s="8"/>
      <x:c r="C109" s="8"/>
      <x:c r="D109" s="9">
        <x:f>SUM(D105:D108)</x:f>
        <x:v>0</x:v>
      </x:c>
      <x:c r="E109" s="9">
        <x:f>SUM(E105:E108)</x:f>
        <x:v>0</x:v>
      </x:c>
      <x:c r="F109" s="10">
        <x:f>SUM(F105:F108)</x:f>
        <x:v>0</x:v>
      </x:c>
      <x:c r="G109" s="11"/>
      <x:c r="H109" s="7"/>
      <x:c r="I109" s="8"/>
      <x:c r="J109" s="8"/>
      <x:c r="K109" s="9">
        <x:f>SUM(K105:K108)</x:f>
        <x:v>0</x:v>
      </x:c>
      <x:c r="L109" s="9">
        <x:f>SUM(L105:L108)</x:f>
        <x:v>0</x:v>
      </x:c>
      <x:c r="M109" s="10">
        <x:f>SUM(M105:M108)</x:f>
        <x:v>0</x:v>
      </x:c>
      <x:c r="N109" s="11"/>
    </x:row>
    <x:row r="110" spans="1:14" ht="20.100000000000001" customHeight="1">
      <x:c r="A110" s="301" t="s">
        <x:v>149</x:v>
      </x:c>
      <x:c r="B110" s="3"/>
      <x:c r="C110" s="3"/>
      <x:c r="D110" s="4"/>
      <x:c r="E110" s="4"/>
      <x:c r="F110" s="5">
        <x:f>+D110+E110</x:f>
        <x:v>0</x:v>
      </x:c>
      <x:c r="G110" s="6"/>
      <x:c r="H110" s="301" t="s">
        <x:v>149</x:v>
      </x:c>
      <x:c r="I110" s="3" t="s">
        <x:v>158</x:v>
      </x:c>
      <x:c r="J110" s="3" t="s">
        <x:v>837</x:v>
      </x:c>
      <x:c r="K110" s="4">
        <x:v>376500</x:v>
      </x:c>
      <x:c r="L110" s="4"/>
      <x:c r="M110" s="5">
        <x:f t="shared" ref="M110:M117" si="17">+K110+L110</x:f>
        <x:v>376500</x:v>
      </x:c>
      <x:c r="N110" s="6"/>
    </x:row>
    <x:row r="111" spans="1:14" ht="20.100000000000001" customHeight="1">
      <x:c r="A111" s="299"/>
      <x:c r="B111" s="3"/>
      <x:c r="C111" s="3"/>
      <x:c r="D111" s="4"/>
      <x:c r="E111" s="4"/>
      <x:c r="F111" s="5">
        <x:f>+D111+E111</x:f>
        <x:v>0</x:v>
      </x:c>
      <x:c r="G111" s="6"/>
      <x:c r="H111" s="299"/>
      <x:c r="I111" s="3"/>
      <x:c r="J111" s="3"/>
      <x:c r="K111" s="4"/>
      <x:c r="L111" s="4">
        <x:f t="shared" ref="L111:L117" si="18">+K111*0.1</x:f>
        <x:v>0</x:v>
      </x:c>
      <x:c r="M111" s="5">
        <x:f t="shared" si="17"/>
        <x:v>0</x:v>
      </x:c>
      <x:c r="N111" s="6"/>
    </x:row>
    <x:row r="112" spans="1:14" ht="20.100000000000001" customHeight="1">
      <x:c r="A112" s="299"/>
      <x:c r="B112" s="3"/>
      <x:c r="C112" s="3"/>
      <x:c r="D112" s="4"/>
      <x:c r="E112" s="4"/>
      <x:c r="F112" s="5">
        <x:f>+D112+E112</x:f>
        <x:v>0</x:v>
      </x:c>
      <x:c r="G112" s="6"/>
      <x:c r="H112" s="299"/>
      <x:c r="I112" s="3"/>
      <x:c r="J112" s="3"/>
      <x:c r="K112" s="4"/>
      <x:c r="L112" s="4">
        <x:f t="shared" si="18"/>
        <x:v>0</x:v>
      </x:c>
      <x:c r="M112" s="5">
        <x:f t="shared" si="17"/>
        <x:v>0</x:v>
      </x:c>
      <x:c r="N112" s="6"/>
    </x:row>
    <x:row r="113" spans="1:14" ht="20.100000000000001" customHeight="1">
      <x:c r="A113" s="299"/>
      <x:c r="B113" s="3"/>
      <x:c r="C113" s="3"/>
      <x:c r="D113" s="4"/>
      <x:c r="E113" s="4"/>
      <x:c r="F113" s="5">
        <x:f t="shared" ref="F113:F119" si="19">+D113+E113</x:f>
        <x:v>0</x:v>
      </x:c>
      <x:c r="G113" s="6"/>
      <x:c r="H113" s="299"/>
      <x:c r="I113" s="3"/>
      <x:c r="J113" s="3"/>
      <x:c r="K113" s="4"/>
      <x:c r="L113" s="4"/>
      <x:c r="M113" s="5">
        <x:f t="shared" si="17"/>
        <x:v>0</x:v>
      </x:c>
      <x:c r="N113" s="6"/>
    </x:row>
    <x:row r="114" spans="1:14" ht="20.100000000000001" customHeight="1">
      <x:c r="A114" s="299"/>
      <x:c r="B114" s="3"/>
      <x:c r="C114" s="3"/>
      <x:c r="D114" s="4"/>
      <x:c r="E114" s="4"/>
      <x:c r="F114" s="5">
        <x:f t="shared" si="19"/>
        <x:v>0</x:v>
      </x:c>
      <x:c r="G114" s="6"/>
      <x:c r="H114" s="299"/>
      <x:c r="I114" s="3"/>
      <x:c r="J114" s="3"/>
      <x:c r="K114" s="4"/>
      <x:c r="L114" s="4">
        <x:f t="shared" si="18"/>
        <x:v>0</x:v>
      </x:c>
      <x:c r="M114" s="5">
        <x:f t="shared" si="17"/>
        <x:v>0</x:v>
      </x:c>
      <x:c r="N114" s="6"/>
    </x:row>
    <x:row r="115" spans="1:14" ht="20.100000000000001" customHeight="1">
      <x:c r="A115" s="299"/>
      <x:c r="B115" s="3"/>
      <x:c r="C115" s="3"/>
      <x:c r="D115" s="4"/>
      <x:c r="E115" s="4"/>
      <x:c r="F115" s="5">
        <x:f t="shared" si="19"/>
        <x:v>0</x:v>
      </x:c>
      <x:c r="G115" s="6"/>
      <x:c r="H115" s="299"/>
      <x:c r="I115" s="3"/>
      <x:c r="J115" s="3"/>
      <x:c r="K115" s="4"/>
      <x:c r="L115" s="4">
        <x:f t="shared" si="18"/>
        <x:v>0</x:v>
      </x:c>
      <x:c r="M115" s="5">
        <x:f t="shared" si="17"/>
        <x:v>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19"/>
        <x:v>0</x:v>
      </x:c>
      <x:c r="G116" s="6"/>
      <x:c r="H116" s="299"/>
      <x:c r="I116" s="3"/>
      <x:c r="J116" s="3"/>
      <x:c r="K116" s="4"/>
      <x:c r="L116" s="4">
        <x:f t="shared" si="18"/>
        <x:v>0</x:v>
      </x:c>
      <x:c r="M116" s="5">
        <x:f t="shared" si="17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 t="shared" si="19"/>
        <x:v>0</x:v>
      </x:c>
      <x:c r="G117" s="6"/>
      <x:c r="H117" s="299"/>
      <x:c r="I117" s="3"/>
      <x:c r="J117" s="3"/>
      <x:c r="K117" s="4"/>
      <x:c r="L117" s="4">
        <x:f t="shared" si="18"/>
        <x:v>0</x:v>
      </x:c>
      <x:c r="M117" s="5">
        <x:f t="shared" si="17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si="19"/>
        <x:v>0</x:v>
      </x:c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300"/>
      <x:c r="B119" s="3"/>
      <x:c r="C119" s="3"/>
      <x:c r="D119" s="4"/>
      <x:c r="E119" s="4"/>
      <x:c r="F119" s="5">
        <x:f t="shared" si="19"/>
        <x:v>0</x:v>
      </x:c>
      <x:c r="G119" s="6"/>
      <x:c r="H119" s="300"/>
      <x:c r="I119" s="3"/>
      <x:c r="J119" s="3"/>
      <x:c r="K119" s="4"/>
      <x:c r="L119" s="4">
        <x:f>+K119*0.1</x:f>
        <x:v>0</x:v>
      </x:c>
      <x:c r="M119" s="5">
        <x:f>+K119+L119</x:f>
        <x:v>0</x:v>
      </x:c>
      <x:c r="N119" s="6"/>
    </x:row>
    <x:row r="120" spans="1:14" ht="20.100000000000001" customHeight="1">
      <x:c r="A120" s="7" t="s">
        <x:v>155</x:v>
      </x:c>
      <x:c r="B120" s="8"/>
      <x:c r="C120" s="8"/>
      <x:c r="D120" s="9">
        <x:f>SUM(D110:D119)</x:f>
        <x:v>0</x:v>
      </x:c>
      <x:c r="E120" s="9">
        <x:f>SUM(E110:E119)</x:f>
        <x:v>0</x:v>
      </x:c>
      <x:c r="F120" s="10">
        <x:f>SUM(F110:F119)</x:f>
        <x:v>0</x:v>
      </x:c>
      <x:c r="G120" s="11"/>
      <x:c r="H120" s="7"/>
      <x:c r="I120" s="8"/>
      <x:c r="J120" s="8"/>
      <x:c r="K120" s="9">
        <x:f>SUM(K110:K119)</x:f>
        <x:v>376500</x:v>
      </x:c>
      <x:c r="L120" s="9">
        <x:f>SUM(L110:L119)</x:f>
        <x:v>0</x:v>
      </x:c>
      <x:c r="M120" s="10">
        <x:f>SUM(M110:M119)</x:f>
        <x:v>376500</x:v>
      </x:c>
      <x:c r="N120" s="11"/>
    </x:row>
    <x:row r="121" spans="1:14" ht="20.100000000000001" customHeight="1">
      <x:c r="A121" s="12" t="s">
        <x:v>1690</x:v>
      </x:c>
      <x:c r="B121" s="13"/>
      <x:c r="C121" s="13"/>
      <x:c r="D121" s="14">
        <x:f>+D99+D104+D109+D120</x:f>
        <x:v>965735</x:v>
      </x:c>
      <x:c r="E121" s="14">
        <x:f>+E99+E104+E109+E120</x:f>
        <x:v>96573</x:v>
      </x:c>
      <x:c r="F121" s="15">
        <x:f>+F99+F104+F109+F120</x:f>
        <x:v>1062308</x:v>
      </x:c>
      <x:c r="G121" s="16"/>
      <x:c r="H121" s="12"/>
      <x:c r="I121" s="13"/>
      <x:c r="J121" s="13"/>
      <x:c r="K121" s="14">
        <x:f>+K99+K104+K109+K120</x:f>
        <x:v>7337620</x:v>
      </x:c>
      <x:c r="L121" s="14">
        <x:f>+L99+L104+L109+L120</x:f>
        <x:v>696112</x:v>
      </x:c>
      <x:c r="M121" s="15">
        <x:f>+M99+M104+M109+M120</x:f>
        <x:v>8033732</x:v>
      </x:c>
      <x:c r="N121" s="16"/>
    </x:row>
    <x:row r="122" spans="1:14" ht="20.100000000000001" customHeight="1">
      <x:c r="A122" s="23" t="s">
        <x:v>35</x:v>
      </x:c>
      <x:c r="B122" s="24"/>
      <x:c r="C122" s="24"/>
      <x:c r="D122" s="25">
        <x:f>+D83-D121</x:f>
        <x:v>-965735</x:v>
      </x:c>
      <x:c r="E122" s="25">
        <x:f>+E83-E121</x:f>
        <x:v>-96573</x:v>
      </x:c>
      <x:c r="F122" s="26">
        <x:f>+F83-F121</x:f>
        <x:v>-1062308</x:v>
      </x:c>
      <x:c r="G122" s="27"/>
      <x:c r="H122" s="23"/>
      <x:c r="I122" s="24"/>
      <x:c r="J122" s="24"/>
      <x:c r="K122" s="25">
        <x:f>+K83-K121</x:f>
        <x:v>-7337620</x:v>
      </x:c>
      <x:c r="L122" s="25">
        <x:f>+L83-L121</x:f>
        <x:v>-696112</x:v>
      </x:c>
      <x:c r="M122" s="26">
        <x:f>+M83-M121</x:f>
        <x:v>-8033732</x:v>
      </x:c>
      <x:c r="N122" s="27"/>
    </x:row>
    <x:row r="125" spans="1:13">
      <x:c r="A125" s="1" t="s">
        <x:v>148</x:v>
      </x:c>
      <x:c r="D125" s="2">
        <x:f>+D15+D57+D99</x:f>
        <x:v>152830881</x:v>
      </x:c>
      <x:c r="E125" s="2">
        <x:f>+E15+E57+E99</x:f>
        <x:v>15283087</x:v>
      </x:c>
      <x:c r="F125" s="2">
        <x:f>+F15+F57+F99</x:f>
        <x:v>168113968</x:v>
      </x:c>
      <x:c r="K125" s="2">
        <x:f>+K15+K57+K99</x:f>
        <x:v>59963752</x:v>
      </x:c>
      <x:c r="L125" s="2">
        <x:f>+L15+L57+L99</x:f>
        <x:v>5996375.2000000002</x:v>
      </x:c>
      <x:c r="M125" s="2">
        <x:f>+M15+M57+M99</x:f>
        <x:v>65960127.200000003</x:v>
      </x:c>
    </x:row>
    <x:row r="126" spans="1:13">
      <x:c r="A126" s="1" t="s">
        <x:v>153</x:v>
      </x:c>
      <x:c r="D126" s="2">
        <x:f>+D20+D62+D104</x:f>
        <x:v>49883600</x:v>
      </x:c>
      <x:c r="E126" s="2">
        <x:f>+E20+E62+E104</x:f>
        <x:v>1112360</x:v>
      </x:c>
      <x:c r="F126" s="2">
        <x:f>+F20+F62+F104</x:f>
        <x:v>50995960</x:v>
      </x:c>
      <x:c r="K126" s="2">
        <x:f>+K20+K62+K104</x:f>
        <x:v>74968000</x:v>
      </x:c>
      <x:c r="L126" s="2">
        <x:f>+L20+L62+L104</x:f>
        <x:v>3476800</x:v>
      </x:c>
      <x:c r="M126" s="2">
        <x:f>+M20+M62+M104</x:f>
        <x:v>78444800</x:v>
      </x:c>
    </x:row>
    <x:row r="127" spans="1:13">
      <x:c r="A127" s="1" t="s">
        <x:v>187</x:v>
      </x:c>
      <x:c r="D127" s="2">
        <x:f>+D25+D67+D109</x:f>
        <x:v>0</x:v>
      </x:c>
      <x:c r="E127" s="2">
        <x:f>+E25+E67+E109</x:f>
        <x:v>0</x:v>
      </x:c>
      <x:c r="F127" s="2">
        <x:f>+F25+F67+F109</x:f>
        <x:v>0</x:v>
      </x:c>
      <x:c r="K127" s="2">
        <x:f>+K25+K67+K109</x:f>
        <x:v>680000</x:v>
      </x:c>
      <x:c r="L127" s="2">
        <x:f>+L25+L67+L109</x:f>
        <x:v>68000</x:v>
      </x:c>
      <x:c r="M127" s="2">
        <x:f>+M25+M67+M109</x:f>
        <x:v>748000</x:v>
      </x:c>
    </x:row>
    <x:row r="128" spans="1:13">
      <x:c r="A128" s="1" t="s">
        <x:v>149</x:v>
      </x:c>
      <x:c r="D128" s="2">
        <x:f>+D36+D78+D120</x:f>
        <x:v>2931170</x:v>
      </x:c>
      <x:c r="E128" s="2">
        <x:f>+E36+E78+E120</x:f>
        <x:v>85500</x:v>
      </x:c>
      <x:c r="F128" s="2">
        <x:f>+F36+F78+F120</x:f>
        <x:v>3016670</x:v>
      </x:c>
      <x:c r="K128" s="2">
        <x:f>+K36+K78+K120</x:f>
        <x:v>7181926</x:v>
      </x:c>
      <x:c r="L128" s="2">
        <x:f>+L36+L78+L120</x:f>
        <x:v>388853.59999999998</x:v>
      </x:c>
      <x:c r="M128" s="2">
        <x:f>+M36+M78+M120</x:f>
        <x:v>7570779.5999999996</x:v>
      </x:c>
    </x:row>
    <x:row r="129" spans="1:13">
      <x:c r="A129" s="1" t="s">
        <x:v>202</x:v>
      </x:c>
      <x:c r="D129" s="2">
        <x:f>SUM(D125:D128)</x:f>
        <x:v>205645651</x:v>
      </x:c>
      <x:c r="E129" s="2">
        <x:f>SUM(E125:E128)</x:f>
        <x:v>16480947</x:v>
      </x:c>
      <x:c r="F129" s="2">
        <x:f>SUM(F125:F128)</x:f>
        <x:v>222126598</x:v>
      </x:c>
      <x:c r="K129" s="2">
        <x:f>SUM(K125:K128)</x:f>
        <x:v>142793678</x:v>
      </x:c>
      <x:c r="L129" s="2">
        <x:f>SUM(L125:L128)</x:f>
        <x:v>9930028.7999999989</x:v>
      </x:c>
      <x:c r="M129" s="2">
        <x:f>SUM(M125:M128)</x:f>
        <x:v>152723706.79999998</x:v>
      </x:c>
    </x:row>
    <x:row r="132" spans="1:6">
      <x:c r="A132" s="1" t="s">
        <x:v>148</x:v>
      </x:c>
      <x:c r="D132" s="2">
        <x:f t="shared" ref="D132:F135" si="20">+D125+K125</x:f>
        <x:v>212794633</x:v>
      </x:c>
      <x:c r="E132" s="2">
        <x:f t="shared" si="20"/>
        <x:v>21279462.199999999</x:v>
      </x:c>
      <x:c r="F132" s="2">
        <x:f t="shared" si="20"/>
        <x:v>234074095.19999999</x:v>
      </x:c>
    </x:row>
    <x:row r="133" spans="1:6">
      <x:c r="A133" s="1" t="s">
        <x:v>153</x:v>
      </x:c>
      <x:c r="D133" s="2">
        <x:f t="shared" si="20"/>
        <x:v>124851600</x:v>
      </x:c>
      <x:c r="E133" s="2">
        <x:f t="shared" si="20"/>
        <x:v>4589160</x:v>
      </x:c>
      <x:c r="F133" s="2">
        <x:f t="shared" si="20"/>
        <x:v>129440760</x:v>
      </x:c>
    </x:row>
    <x:row r="134" spans="1:6">
      <x:c r="A134" s="1" t="s">
        <x:v>187</x:v>
      </x:c>
      <x:c r="D134" s="2">
        <x:f t="shared" si="20"/>
        <x:v>680000</x:v>
      </x:c>
      <x:c r="E134" s="2">
        <x:f t="shared" si="20"/>
        <x:v>68000</x:v>
      </x:c>
      <x:c r="F134" s="2">
        <x:f t="shared" si="20"/>
        <x:v>748000</x:v>
      </x:c>
    </x:row>
    <x:row r="135" spans="1:6">
      <x:c r="A135" s="1" t="s">
        <x:v>149</x:v>
      </x:c>
      <x:c r="D135" s="2">
        <x:f t="shared" si="20"/>
        <x:v>10113096</x:v>
      </x:c>
      <x:c r="E135" s="2">
        <x:f t="shared" si="20"/>
        <x:v>474353.59999999998</x:v>
      </x:c>
      <x:c r="F135" s="2">
        <x:f t="shared" si="20"/>
        <x:v>10587449.6</x:v>
      </x:c>
    </x:row>
    <x:row r="136" spans="1:6">
      <x:c r="A136" s="1" t="s">
        <x:v>1019</x:v>
      </x:c>
      <x:c r="D136" s="2">
        <x:f>SUM(D132:D135)</x:f>
        <x:v>348439329</x:v>
      </x:c>
      <x:c r="E136" s="2">
        <x:f>SUM(E132:E135)</x:f>
        <x:v>26410975.800000001</x:v>
      </x:c>
      <x:c r="F136" s="2">
        <x:f>SUM(F132:F135)</x:f>
        <x:v>374850304.80000001</x:v>
      </x:c>
    </x:row>
    <x:row r="137" spans="1:6">
      <x:c r="A137" s="1" t="s">
        <x:v>151</x:v>
      </x:c>
      <x:c r="D137" s="2">
        <x:f>D4+D41+D83+K4+K41+K83</x:f>
        <x:v>313610000</x:v>
      </x:c>
      <x:c r="E137" s="2">
        <x:f>E4+E41+E83+L4+L41+L83</x:f>
        <x:v>8129420</x:v>
      </x:c>
      <x:c r="F137" s="2">
        <x:f>F4+F41+F83+M4+M41+M83</x:f>
        <x:v>321739420</x:v>
      </x:c>
    </x:row>
    <x:row r="138" spans="1:6">
      <x:c r="A138" s="1" t="s">
        <x:v>632</x:v>
      </x:c>
      <x:c r="D138" s="2">
        <x:f>+D137-D136</x:f>
        <x:v>-34829329</x:v>
      </x:c>
      <x:c r="E138" s="2">
        <x:f>+E137-E136</x:f>
        <x:v>-18281555.800000001</x:v>
      </x:c>
      <x:c r="F138" s="2">
        <x:f>+F137-F136</x:f>
        <x:v>-53110884.800000012</x:v>
      </x:c>
    </x:row>
  </x:sheetData>
  <x:mergeCells count="31">
    <x:mergeCell ref="A16:A19"/>
    <x:mergeCell ref="H16:H19"/>
    <x:mergeCell ref="A1:N1"/>
    <x:mergeCell ref="A2:G2"/>
    <x:mergeCell ref="H2:N2"/>
    <x:mergeCell ref="A5:A14"/>
    <x:mergeCell ref="H5:H14"/>
    <x:mergeCell ref="A21:A24"/>
    <x:mergeCell ref="H21:H24"/>
    <x:mergeCell ref="A26:A35"/>
    <x:mergeCell ref="H26:H35"/>
    <x:mergeCell ref="A39:G39"/>
    <x:mergeCell ref="H39:N39"/>
    <x:mergeCell ref="A42:A56"/>
    <x:mergeCell ref="H42:H56"/>
    <x:mergeCell ref="A58:A61"/>
    <x:mergeCell ref="H58:H61"/>
    <x:mergeCell ref="A63:A66"/>
    <x:mergeCell ref="H63:H66"/>
    <x:mergeCell ref="A68:A77"/>
    <x:mergeCell ref="H68:H77"/>
    <x:mergeCell ref="A81:G81"/>
    <x:mergeCell ref="H81:N81"/>
    <x:mergeCell ref="A84:A98"/>
    <x:mergeCell ref="H84:H98"/>
    <x:mergeCell ref="A100:A103"/>
    <x:mergeCell ref="H100:H103"/>
    <x:mergeCell ref="A105:A108"/>
    <x:mergeCell ref="H105:H108"/>
    <x:mergeCell ref="A110:A119"/>
    <x:mergeCell ref="H110:H119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38" min="0" max="1048575" man="1" pt="0"/>
  </x:rowBreaks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R11"/>
  <x:sheetViews>
    <x:sheetView view="pageBreakPreview" topLeftCell="A1" zoomScaleNormal="100" zoomScaleSheetLayoutView="100" workbookViewId="0">
      <x:selection activeCell="J15" activeCellId="0" sqref="J15:J15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2:11" ht="90" customHeight="1">
      <x:c r="B1" s="286" t="s">
        <x:v>1742</x:v>
      </x:c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56"/>
      <x:c r="C2" s="56"/>
      <x:c r="D2" s="56"/>
      <x:c r="E2" s="56"/>
      <x:c r="F2" s="56"/>
      <x:c r="G2" s="56"/>
      <x:c r="H2" s="56"/>
      <x:c r="I2" s="56"/>
      <x:c r="J2" s="56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30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0" t="s">
        <x:v>638</x:v>
      </x:c>
      <x:c r="C5" s="61" t="s">
        <x:v>635</x:v>
      </x:c>
      <x:c r="D5" s="74">
        <x:f>'19년08월(세부내역)'!D4</x:f>
        <x:v>133640000</x:v>
      </x:c>
      <x:c r="E5" s="67">
        <x:f>'19년08월(세부내역)'!D15</x:f>
        <x:v>23343110</x:v>
      </x:c>
      <x:c r="F5" s="67">
        <x:f>'19년08월(세부내역)'!D22</x:f>
        <x:v>65160390</x:v>
      </x:c>
      <x:c r="G5" s="67">
        <x:f>'19년08월(세부내역)'!D27</x:f>
        <x:v>0</x:v>
      </x:c>
      <x:c r="H5" s="67">
        <x:f>'19년08월(세부내역)'!D38</x:f>
        <x:v>5564230</x:v>
      </x:c>
      <x:c r="I5" s="75">
        <x:f t="shared" ref="I5:I10" si="0">+SUM(E5:H5)</x:f>
        <x:v>94067730</x:v>
      </x:c>
      <x:c r="J5" s="9">
        <x:f t="shared" ref="J5:J10" si="1">D5-I5</x:f>
        <x:v>39572270</x:v>
      </x:c>
      <x:c r="K5" s="62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634</x:v>
      </x:c>
      <x:c r="C6" s="58" t="s">
        <x:v>901</x:v>
      </x:c>
      <x:c r="D6" s="74">
        <x:f>'19년08월(세부내역)'!K4</x:f>
        <x:v>178500000</x:v>
      </x:c>
      <x:c r="E6" s="59">
        <x:f>+'19년08월(세부내역)'!K15</x:f>
        <x:v>45707650</x:v>
      </x:c>
      <x:c r="F6" s="59">
        <x:f>'19년08월(세부내역)'!K22</x:f>
        <x:v>78131600</x:v>
      </x:c>
      <x:c r="G6" s="59">
        <x:f>'19년08월(세부내역)'!K27</x:f>
        <x:v>560000</x:v>
      </x:c>
      <x:c r="H6" s="59">
        <x:f>'19년08월(세부내역)'!K38</x:f>
        <x:v>5487336</x:v>
      </x:c>
      <x:c r="I6" s="75">
        <x:f t="shared" si="0"/>
        <x:v>129886586</x:v>
      </x:c>
      <x:c r="J6" s="9">
        <x:f t="shared" si="1"/>
        <x:v>48613414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'19년08월(세부내역)'!D43</x:f>
        <x:v>0</x:v>
      </x:c>
      <x:c r="E7" s="59">
        <x:f>+'19년08월(세부내역)'!D59</x:f>
        <x:v>3807900</x:v>
      </x:c>
      <x:c r="F7" s="59">
        <x:f>'19년08월(세부내역)'!D64</x:f>
        <x:v>4590000</x:v>
      </x:c>
      <x:c r="G7" s="59">
        <x:f>'19년08월(세부내역)'!D69</x:f>
        <x:v>0</x:v>
      </x:c>
      <x:c r="H7" s="59">
        <x:f>'19년08월(세부내역)'!D80</x:f>
        <x:v>550000</x:v>
      </x:c>
      <x:c r="I7" s="75">
        <x:f t="shared" si="0"/>
        <x:v>8947900</x:v>
      </x:c>
      <x:c r="J7" s="76">
        <x:f t="shared" si="1"/>
        <x:v>-8947900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'19년08월(세부내역)'!K43</x:f>
        <x:v>70820000</x:v>
      </x:c>
      <x:c r="E8" s="59">
        <x:f>'19년08월(세부내역)'!K59</x:f>
        <x:v>11430873</x:v>
      </x:c>
      <x:c r="F8" s="59">
        <x:f>'19년08월(세부내역)'!K64</x:f>
        <x:v>22964300</x:v>
      </x:c>
      <x:c r="G8" s="59">
        <x:f>'19년08월(세부내역)'!K69</x:f>
        <x:v>0</x:v>
      </x:c>
      <x:c r="H8" s="59">
        <x:f>'19년08월(세부내역)'!K80</x:f>
        <x:v>2316400</x:v>
      </x:c>
      <x:c r="I8" s="75">
        <x:f t="shared" si="0"/>
        <x:v>36711573</x:v>
      </x:c>
      <x:c r="J8" s="9">
        <x:f t="shared" si="1"/>
        <x:v>34108427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'19년08월(세부내역)'!D85</x:f>
        <x:v>34631829</x:v>
      </x:c>
      <x:c r="E9" s="59">
        <x:f>'19년08월(세부내역)'!D101</x:f>
        <x:v>1739540</x:v>
      </x:c>
      <x:c r="F9" s="59">
        <x:f>'19년08월(세부내역)'!D106</x:f>
        <x:v>660000</x:v>
      </x:c>
      <x:c r="G9" s="59">
        <x:f>'19년08월(세부내역)'!D111</x:f>
        <x:v>0</x:v>
      </x:c>
      <x:c r="H9" s="59">
        <x:f>'19년08월(세부내역)'!D122</x:f>
        <x:v>808000</x:v>
      </x:c>
      <x:c r="I9" s="75">
        <x:f t="shared" si="0"/>
        <x:v>3207540</x:v>
      </x:c>
      <x:c r="J9" s="9">
        <x:f t="shared" si="1"/>
        <x:v>31424289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'19년08월(세부내역)'!K85</x:f>
        <x:v>39652879</x:v>
      </x:c>
      <x:c r="E10" s="59">
        <x:f>'19년08월(세부내역)'!K101</x:f>
        <x:v>4175308</x:v>
      </x:c>
      <x:c r="F10" s="59">
        <x:f>'19년08월(세부내역)'!K106</x:f>
        <x:v>13475000</x:v>
      </x:c>
      <x:c r="G10" s="59">
        <x:f>'19년08월(세부내역)'!K111</x:f>
        <x:v>0</x:v>
      </x:c>
      <x:c r="H10" s="59">
        <x:f>'19년08월(세부내역)'!K122</x:f>
        <x:v>1017820</x:v>
      </x:c>
      <x:c r="I10" s="75">
        <x:f t="shared" si="0"/>
        <x:v>18668128</x:v>
      </x:c>
      <x:c r="J10" s="9">
        <x:f t="shared" si="1"/>
        <x:v>20984751</x:v>
      </x:c>
      <x:c r="K10" s="59"/>
    </x:row>
    <x:row r="11" spans="1:11" ht="30" customHeight="1">
      <x:c r="A11" s="64"/>
      <x:c r="B11" s="64" t="s">
        <x:v>1690</x:v>
      </x:c>
      <x:c r="C11" s="65"/>
      <x:c r="D11" s="68">
        <x:f>SUM(D5:D10)</x:f>
        <x:v>457244708</x:v>
      </x:c>
      <x:c r="E11" s="66">
        <x:f t="shared" ref="E11:J11" si="2">SUM(E5:E10)</x:f>
        <x:v>90204381</x:v>
      </x:c>
      <x:c r="F11" s="66">
        <x:f t="shared" si="2"/>
        <x:v>184981290</x:v>
      </x:c>
      <x:c r="G11" s="66">
        <x:f t="shared" si="2"/>
        <x:v>560000</x:v>
      </x:c>
      <x:c r="H11" s="66">
        <x:f t="shared" si="2"/>
        <x:v>15743786</x:v>
      </x:c>
      <x:c r="I11" s="69">
        <x:f t="shared" si="2"/>
        <x:v>291489457</x:v>
      </x:c>
      <x:c r="J11" s="66">
        <x:f t="shared" si="2"/>
        <x:v>165755251</x:v>
      </x:c>
      <x:c r="K11" s="66"/>
    </x:row>
  </x:sheetData>
  <x:mergeCells count="13">
    <x:mergeCell ref="B1:K1"/>
    <x:mergeCell ref="A3:A4"/>
    <x:mergeCell ref="B3:B4"/>
    <x:mergeCell ref="C3:C4"/>
    <x:mergeCell ref="D3:D4"/>
    <x:mergeCell ref="E3:I3"/>
    <x:mergeCell ref="J3:J4"/>
    <x:mergeCell ref="K3:K4"/>
    <x:mergeCell ref="N2:N5"/>
    <x:mergeCell ref="O3:O4"/>
    <x:mergeCell ref="P3:P4"/>
    <x:mergeCell ref="Q3:Q4"/>
    <x:mergeCell ref="R3:R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N140"/>
  <x:sheetViews>
    <x:sheetView view="pageBreakPreview" topLeftCell="A58" zoomScaleNormal="100" zoomScaleSheetLayoutView="100" workbookViewId="0">
      <x:selection activeCell="J15" activeCellId="0" sqref="J15:J1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30" t="s">
        <x:v>144</x:v>
      </x:c>
      <x:c r="C3" s="30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30" t="s">
        <x:v>144</x:v>
      </x:c>
      <x:c r="J3" s="30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57" t="s">
        <x:v>151</x:v>
      </x:c>
      <x:c r="B4" s="38" t="s">
        <x:v>1679</x:v>
      </x:c>
      <x:c r="C4" s="38" t="s">
        <x:v>1678</x:v>
      </x:c>
      <x:c r="D4" s="39">
        <x:f>95500000+38140000</x:f>
        <x:v>133640000</x:v>
      </x:c>
      <x:c r="E4" s="39">
        <x:f>4500000+1860000</x:f>
        <x:v>6360000</x:v>
      </x:c>
      <x:c r="F4" s="40">
        <x:f>+D4+E4</x:f>
        <x:v>140000000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178500000</x:v>
      </x:c>
      <x:c r="L4" s="39"/>
      <x:c r="M4" s="40">
        <x:f>+K4+L4</x:f>
        <x:v>178500000</x:v>
      </x:c>
      <x:c r="N4" s="42"/>
    </x:row>
    <x:row r="5" spans="1:14" ht="20.100000000000001" customHeight="1">
      <x:c r="A5" s="298" t="s">
        <x:v>148</x:v>
      </x:c>
      <x:c r="B5" s="54" t="s">
        <x:v>867</x:v>
      </x:c>
      <x:c r="C5" s="54" t="s">
        <x:v>362</x:v>
      </x:c>
      <x:c r="D5" s="20">
        <x:v>350740</x:v>
      </x:c>
      <x:c r="E5" s="20">
        <x:f>+D5*0.1</x:f>
        <x:v>35074</x:v>
      </x:c>
      <x:c r="F5" s="21">
        <x:f>+D5+E5</x:f>
        <x:v>385814</x:v>
      </x:c>
      <x:c r="G5" s="22"/>
      <x:c r="H5" s="298" t="s">
        <x:v>148</x:v>
      </x:c>
      <x:c r="I5" s="19" t="s">
        <x:v>838</x:v>
      </x:c>
      <x:c r="J5" s="19" t="s">
        <x:v>357</x:v>
      </x:c>
      <x:c r="K5" s="20">
        <x:v>3386800</x:v>
      </x:c>
      <x:c r="L5" s="20">
        <x:f t="shared" ref="L5:L10" si="0">K5*0.1</x:f>
        <x:v>338680</x:v>
      </x:c>
      <x:c r="M5" s="21">
        <x:f t="shared" ref="M5:M21" si="1">+K5+L5</x:f>
        <x:v>3725480</x:v>
      </x:c>
      <x:c r="N5" s="22"/>
    </x:row>
    <x:row r="6" spans="1:14" ht="20.100000000000001" customHeight="1">
      <x:c r="A6" s="299"/>
      <x:c r="B6" s="3" t="s">
        <x:v>840</x:v>
      </x:c>
      <x:c r="C6" s="3"/>
      <x:c r="D6" s="4"/>
      <x:c r="E6" s="4"/>
      <x:c r="F6" s="5">
        <x:f>+D6+E6</x:f>
        <x:v>0</x:v>
      </x:c>
      <x:c r="G6" s="6"/>
      <x:c r="H6" s="299"/>
      <x:c r="I6" s="3" t="s">
        <x:v>867</x:v>
      </x:c>
      <x:c r="J6" s="3" t="s">
        <x:v>351</x:v>
      </x:c>
      <x:c r="K6" s="4">
        <x:v>30171900</x:v>
      </x:c>
      <x:c r="L6" s="4">
        <x:f t="shared" si="0"/>
        <x:v>3017190</x:v>
      </x:c>
      <x:c r="M6" s="5">
        <x:f t="shared" si="1"/>
        <x:v>33189090</x:v>
      </x:c>
      <x:c r="N6" s="6"/>
    </x:row>
    <x:row r="7" spans="1:14" ht="20.100000000000001" customHeight="1">
      <x:c r="A7" s="299"/>
      <x:c r="B7" s="3" t="s">
        <x:v>854</x:v>
      </x:c>
      <x:c r="C7" s="3" t="s">
        <x:v>346</x:v>
      </x:c>
      <x:c r="D7" s="4">
        <x:v>3033570</x:v>
      </x:c>
      <x:c r="E7" s="4">
        <x:f>+D7*0.1</x:f>
        <x:v>303357</x:v>
      </x:c>
      <x:c r="F7" s="5">
        <x:f>+D7+E7</x:f>
        <x:v>3336927</x:v>
      </x:c>
      <x:c r="G7" s="6"/>
      <x:c r="H7" s="299"/>
      <x:c r="I7" s="3" t="s">
        <x:v>34</x:v>
      </x:c>
      <x:c r="J7" s="3" t="s">
        <x:v>23</x:v>
      </x:c>
      <x:c r="K7" s="4">
        <x:f>5118070</x:f>
        <x:v>5118070</x:v>
      </x:c>
      <x:c r="L7" s="4">
        <x:f t="shared" si="0"/>
        <x:v>511807</x:v>
      </x:c>
      <x:c r="M7" s="5">
        <x:f t="shared" si="1"/>
        <x:v>5629877</x:v>
      </x:c>
      <x:c r="N7" s="6"/>
    </x:row>
    <x:row r="8" spans="1:14" ht="20.100000000000001" customHeight="1">
      <x:c r="A8" s="299"/>
      <x:c r="B8" s="3" t="s">
        <x:v>967</x:v>
      </x:c>
      <x:c r="C8" s="3" t="s">
        <x:v>969</x:v>
      </x:c>
      <x:c r="D8" s="4">
        <x:v>9355900</x:v>
      </x:c>
      <x:c r="E8" s="4">
        <x:f>+D8*0.1</x:f>
        <x:v>935590</x:v>
      </x:c>
      <x:c r="F8" s="5">
        <x:f t="shared" ref="F8:F14" si="2">+D8+E8</x:f>
        <x:v>10291490</x:v>
      </x:c>
      <x:c r="G8" s="6"/>
      <x:c r="H8" s="299"/>
      <x:c r="I8" s="3" t="s">
        <x:v>840</x:v>
      </x:c>
      <x:c r="J8" s="3" t="s">
        <x:v>630</x:v>
      </x:c>
      <x:c r="K8" s="4">
        <x:v>3192280</x:v>
      </x:c>
      <x:c r="L8" s="4">
        <x:f t="shared" si="0"/>
        <x:v>319228</x:v>
      </x:c>
      <x:c r="M8" s="5">
        <x:f t="shared" si="1"/>
        <x:v>3511508</x:v>
      </x:c>
      <x:c r="N8" s="6"/>
    </x:row>
    <x:row r="9" spans="1:14" ht="20.100000000000001" customHeight="1">
      <x:c r="A9" s="299"/>
      <x:c r="B9" s="3" t="s">
        <x:v>1033</x:v>
      </x:c>
      <x:c r="C9" s="3" t="s">
        <x:v>201</x:v>
      </x:c>
      <x:c r="D9" s="4">
        <x:v>820000</x:v>
      </x:c>
      <x:c r="E9" s="4">
        <x:f>+D9*0.1</x:f>
        <x:v>82000</x:v>
      </x:c>
      <x:c r="F9" s="5">
        <x:f t="shared" si="2"/>
        <x:v>902000</x:v>
      </x:c>
      <x:c r="G9" s="6"/>
      <x:c r="H9" s="299"/>
      <x:c r="I9" s="3" t="s">
        <x:v>907</x:v>
      </x:c>
      <x:c r="J9" s="3" t="s">
        <x:v>894</x:v>
      </x:c>
      <x:c r="K9" s="4">
        <x:v>600000</x:v>
      </x:c>
      <x:c r="L9" s="4">
        <x:f t="shared" si="0"/>
        <x:v>60000</x:v>
      </x:c>
      <x:c r="M9" s="5">
        <x:f t="shared" si="1"/>
        <x:v>660000</x:v>
      </x:c>
      <x:c r="N9" s="6"/>
    </x:row>
    <x:row r="10" spans="1:14" ht="20.100000000000001" customHeight="1">
      <x:c r="A10" s="299"/>
      <x:c r="B10" s="3" t="s">
        <x:v>1705</x:v>
      </x:c>
      <x:c r="C10" s="3"/>
      <x:c r="D10" s="4"/>
      <x:c r="E10" s="4"/>
      <x:c r="F10" s="5">
        <x:f t="shared" si="2"/>
        <x:v>0</x:v>
      </x:c>
      <x:c r="G10" s="6"/>
      <x:c r="H10" s="299"/>
      <x:c r="I10" s="3" t="s">
        <x:v>1705</x:v>
      </x:c>
      <x:c r="J10" s="3" t="s">
        <x:v>631</x:v>
      </x:c>
      <x:c r="K10" s="4">
        <x:v>551000</x:v>
      </x:c>
      <x:c r="L10" s="4">
        <x:f t="shared" si="0"/>
        <x:v>55100</x:v>
      </x:c>
      <x:c r="M10" s="5">
        <x:f t="shared" si="1"/>
        <x:v>606100</x:v>
      </x:c>
      <x:c r="N10" s="6"/>
    </x:row>
    <x:row r="11" spans="1:14" ht="20.100000000000001" customHeight="1">
      <x:c r="A11" s="299"/>
      <x:c r="B11" s="3" t="s">
        <x:v>1016</x:v>
      </x:c>
      <x:c r="C11" s="3" t="s">
        <x:v>345</x:v>
      </x:c>
      <x:c r="D11" s="4">
        <x:v>5500000</x:v>
      </x:c>
      <x:c r="E11" s="4">
        <x:f>+D11*0.1</x:f>
        <x:v>550000</x:v>
      </x:c>
      <x:c r="F11" s="5">
        <x:f t="shared" si="2"/>
        <x:v>6050000</x:v>
      </x:c>
      <x:c r="G11" s="6"/>
      <x:c r="H11" s="299"/>
      <x:c r="I11" s="3" t="s">
        <x:v>938</x:v>
      </x:c>
      <x:c r="J11" s="3" t="s">
        <x:v>935</x:v>
      </x:c>
      <x:c r="K11" s="4">
        <x:v>1035000</x:v>
      </x:c>
      <x:c r="L11" s="4">
        <x:f>+INT(K11*0.1)</x:f>
        <x:v>103500</x:v>
      </x:c>
      <x:c r="M11" s="5">
        <x:f t="shared" si="1"/>
        <x:v>1138500</x:v>
      </x:c>
      <x:c r="N11" s="6"/>
    </x:row>
    <x:row r="12" spans="1:14" ht="20.100000000000001" customHeight="1">
      <x:c r="A12" s="299"/>
      <x:c r="B12" s="3" t="s">
        <x:v>846</x:v>
      </x:c>
      <x:c r="C12" s="3" t="s">
        <x:v>1024</x:v>
      </x:c>
      <x:c r="D12" s="44">
        <x:v>890900</x:v>
      </x:c>
      <x:c r="E12" s="44">
        <x:f>+D12*0.1</x:f>
        <x:v>89090</x:v>
      </x:c>
      <x:c r="F12" s="45">
        <x:f t="shared" si="2"/>
        <x:v>979990</x:v>
      </x:c>
      <x:c r="G12" s="6"/>
      <x:c r="H12" s="299"/>
      <x:c r="I12" s="3" t="s">
        <x:v>846</x:v>
      </x:c>
      <x:c r="J12" s="3" t="s">
        <x:v>629</x:v>
      </x:c>
      <x:c r="K12" s="4">
        <x:v>1652600</x:v>
      </x:c>
      <x:c r="L12" s="4">
        <x:f>+K12*0.1</x:f>
        <x:v>165260</x:v>
      </x:c>
      <x:c r="M12" s="5">
        <x:f t="shared" si="1"/>
        <x:v>1817860</x:v>
      </x:c>
      <x:c r="N12" s="6"/>
    </x:row>
    <x:row r="13" spans="1:14" ht="20.100000000000001" customHeight="1">
      <x:c r="A13" s="299"/>
      <x:c r="B13" s="3" t="s">
        <x:v>846</x:v>
      </x:c>
      <x:c r="C13" s="3" t="s">
        <x:v>1005</x:v>
      </x:c>
      <x:c r="D13" s="4"/>
      <x:c r="E13" s="4"/>
      <x:c r="F13" s="5">
        <x:f t="shared" si="2"/>
        <x:v>0</x:v>
      </x:c>
      <x:c r="G13" s="6"/>
      <x:c r="H13" s="299"/>
      <x:c r="I13" s="3"/>
      <x:c r="J13" s="3"/>
      <x:c r="K13" s="4"/>
      <x:c r="L13" s="4">
        <x:f>+K13*0.1</x:f>
        <x:v>0</x:v>
      </x:c>
      <x:c r="M13" s="5">
        <x:f t="shared" si="1"/>
        <x:v>0</x:v>
      </x:c>
      <x:c r="N13" s="6"/>
    </x:row>
    <x:row r="14" spans="1:14" ht="20.100000000000001" customHeight="1">
      <x:c r="A14" s="300"/>
      <x:c r="B14" s="3" t="s">
        <x:v>1052</x:v>
      </x:c>
      <x:c r="C14" s="3" t="s">
        <x:v>1709</x:v>
      </x:c>
      <x:c r="D14" s="4">
        <x:v>3392000</x:v>
      </x:c>
      <x:c r="E14" s="4">
        <x:f>+D14*0.1</x:f>
        <x:v>339200</x:v>
      </x:c>
      <x:c r="F14" s="45">
        <x:f t="shared" si="2"/>
        <x:v>3731200</x:v>
      </x:c>
      <x:c r="G14" s="6"/>
      <x:c r="H14" s="300"/>
      <x:c r="I14" s="3"/>
      <x:c r="J14" s="3"/>
      <x:c r="K14" s="4"/>
      <x:c r="L14" s="4"/>
      <x:c r="M14" s="5">
        <x:f t="shared" si="1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23343110</x:v>
      </x:c>
      <x:c r="E15" s="9">
        <x:f>SUM(E5:E14)</x:f>
        <x:v>2334311</x:v>
      </x:c>
      <x:c r="F15" s="10">
        <x:f>SUM(F5:F14)</x:f>
        <x:v>25677421</x:v>
      </x:c>
      <x:c r="G15" s="11"/>
      <x:c r="H15" s="7"/>
      <x:c r="I15" s="8"/>
      <x:c r="J15" s="8"/>
      <x:c r="K15" s="9">
        <x:f>SUM(K5:K14)</x:f>
        <x:v>45707650</x:v>
      </x:c>
      <x:c r="L15" s="9">
        <x:f>SUM(L5:L14)</x:f>
        <x:v>4570765</x:v>
      </x:c>
      <x:c r="M15" s="10">
        <x:f>SUM(M5:M14)</x:f>
        <x:v>50278415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36805000</x:v>
      </x:c>
      <x:c r="E16" s="44"/>
      <x:c r="F16" s="45">
        <x:f t="shared" ref="F16:F21" si="3">+D16+E16</x:f>
        <x:v>36805000</x:v>
      </x:c>
      <x:c r="G16" s="37"/>
      <x:c r="H16" s="301" t="s">
        <x:v>153</x:v>
      </x:c>
      <x:c r="I16" s="3" t="s">
        <x:v>1677</x:v>
      </x:c>
      <x:c r="J16" s="3"/>
      <x:c r="K16" s="4">
        <x:v>32970000</x:v>
      </x:c>
      <x:c r="L16" s="4"/>
      <x:c r="M16" s="5">
        <x:f t="shared" si="1"/>
        <x:v>32970000</x:v>
      </x:c>
      <x:c r="N16" s="6"/>
    </x:row>
    <x:row r="17" spans="1:14" ht="20.100000000000001" customHeight="1">
      <x:c r="A17" s="299"/>
      <x:c r="B17" s="3" t="s">
        <x:v>198</x:v>
      </x:c>
      <x:c r="C17" s="3" t="s">
        <x:v>1067</x:v>
      </x:c>
      <x:c r="D17" s="4">
        <x:v>1120000</x:v>
      </x:c>
      <x:c r="E17" s="4"/>
      <x:c r="F17" s="5">
        <x:f t="shared" si="3"/>
        <x:v>1120000</x:v>
      </x:c>
      <x:c r="G17" s="37"/>
      <x:c r="H17" s="299"/>
      <x:c r="I17" s="3" t="s">
        <x:v>999</x:v>
      </x:c>
      <x:c r="J17" s="3" t="s">
        <x:v>1002</x:v>
      </x:c>
      <x:c r="K17" s="4">
        <x:v>28224000</x:v>
      </x:c>
      <x:c r="L17" s="4">
        <x:f>+K17*0.1</x:f>
        <x:v>2822400</x:v>
      </x:c>
      <x:c r="M17" s="5">
        <x:f t="shared" si="1"/>
        <x:v>31046400</x:v>
      </x:c>
      <x:c r="N17" s="6"/>
    </x:row>
    <x:row r="18" spans="1:14" ht="20.100000000000001" customHeight="1">
      <x:c r="A18" s="299"/>
      <x:c r="B18" s="3" t="s">
        <x:v>211</x:v>
      </x:c>
      <x:c r="C18" s="3" t="s">
        <x:v>1059</x:v>
      </x:c>
      <x:c r="D18" s="4">
        <x:v>1920000</x:v>
      </x:c>
      <x:c r="E18" s="4"/>
      <x:c r="F18" s="5">
        <x:f t="shared" si="3"/>
        <x:v>1920000</x:v>
      </x:c>
      <x:c r="G18" s="37"/>
      <x:c r="H18" s="299"/>
      <x:c r="I18" s="3" t="s">
        <x:v>1026</x:v>
      </x:c>
      <x:c r="J18" s="3" t="s">
        <x:v>1029</x:v>
      </x:c>
      <x:c r="K18" s="4">
        <x:v>16937600</x:v>
      </x:c>
      <x:c r="L18" s="4">
        <x:f>+K18*0.1</x:f>
        <x:v>1693760</x:v>
      </x:c>
      <x:c r="M18" s="5">
        <x:f t="shared" si="1"/>
        <x:v>18631360</x:v>
      </x:c>
      <x:c r="N18" s="6"/>
    </x:row>
    <x:row r="19" spans="1:14" ht="20.100000000000001" customHeight="1">
      <x:c r="A19" s="299"/>
      <x:c r="B19" s="3" t="s">
        <x:v>980</x:v>
      </x:c>
      <x:c r="C19" s="3" t="s">
        <x:v>6</x:v>
      </x:c>
      <x:c r="D19" s="4">
        <x:v>13860690</x:v>
      </x:c>
      <x:c r="E19" s="4">
        <x:f>+D19*0.1</x:f>
        <x:v>1386069</x:v>
      </x:c>
      <x:c r="F19" s="5">
        <x:f t="shared" si="3"/>
        <x:v>15246759</x:v>
      </x:c>
      <x:c r="G19" s="6"/>
      <x:c r="H19" s="299"/>
      <x:c r="I19" s="3"/>
      <x:c r="J19" s="3"/>
      <x:c r="K19" s="4"/>
      <x:c r="L19" s="4"/>
      <x:c r="M19" s="5">
        <x:f t="shared" si="1"/>
        <x:v>0</x:v>
      </x:c>
      <x:c r="N19" s="6"/>
    </x:row>
    <x:row r="20" spans="1:14" ht="20.100000000000001" customHeight="1">
      <x:c r="A20" s="299"/>
      <x:c r="B20" s="3" t="s">
        <x:v>987</x:v>
      </x:c>
      <x:c r="C20" s="3" t="s">
        <x:v>1008</x:v>
      </x:c>
      <x:c r="D20" s="4">
        <x:v>6000000</x:v>
      </x:c>
      <x:c r="E20" s="4">
        <x:f>+D20*0.1</x:f>
        <x:v>600000</x:v>
      </x:c>
      <x:c r="F20" s="5">
        <x:f t="shared" si="3"/>
        <x:v>6600000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 t="s">
        <x:v>1050</x:v>
      </x:c>
      <x:c r="C21" s="3" t="s">
        <x:v>210</x:v>
      </x:c>
      <x:c r="D21" s="4">
        <x:v>5454700</x:v>
      </x:c>
      <x:c r="E21" s="4">
        <x:v>-176390</x:v>
      </x:c>
      <x:c r="F21" s="5">
        <x:f t="shared" si="3"/>
        <x:v>5278310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65160390</x:v>
      </x:c>
      <x:c r="E22" s="9">
        <x:f>SUM(E16:E21)</x:f>
        <x:v>1809679</x:v>
      </x:c>
      <x:c r="F22" s="10">
        <x:f>SUM(F16:F21)</x:f>
        <x:v>66970069</x:v>
      </x:c>
      <x:c r="G22" s="11"/>
      <x:c r="H22" s="7"/>
      <x:c r="I22" s="8"/>
      <x:c r="J22" s="8"/>
      <x:c r="K22" s="9">
        <x:f>SUM(K16:K21)</x:f>
        <x:v>78131600</x:v>
      </x:c>
      <x:c r="L22" s="9">
        <x:f>SUM(L16:L21)</x:f>
        <x:v>4516160</x:v>
      </x:c>
      <x:c r="M22" s="10">
        <x:f>SUM(M16:M21)</x:f>
        <x:v>82647760</x:v>
      </x:c>
      <x:c r="N22" s="11"/>
    </x:row>
    <x:row r="23" spans="1:14" ht="20.100000000000001" customHeight="1">
      <x:c r="A23" s="301" t="s">
        <x:v>187</x:v>
      </x:c>
      <x:c r="B23" s="3" t="s">
        <x:v>1693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1010</x:v>
      </x:c>
      <x:c r="J23" s="3" t="s">
        <x:v>948</x:v>
      </x:c>
      <x:c r="K23" s="4">
        <x:v>300000</x:v>
      </x:c>
      <x:c r="L23" s="4">
        <x:f>+K23*0.1</x:f>
        <x:v>30000</x:v>
      </x:c>
      <x:c r="M23" s="5">
        <x:f>+K23+L23</x:f>
        <x:v>330000</x:v>
      </x:c>
      <x:c r="N23" s="6"/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857</x:v>
      </x:c>
      <x:c r="J24" s="3" t="s">
        <x:v>1006</x:v>
      </x:c>
      <x:c r="K24" s="4">
        <x:v>260000</x:v>
      </x:c>
      <x:c r="L24" s="4">
        <x:f>K24*0.1</x:f>
        <x:v>26000</x:v>
      </x:c>
      <x:c r="M24" s="5">
        <x:f>+K24+L24</x:f>
        <x:v>286000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560000</x:v>
      </x:c>
      <x:c r="L27" s="9">
        <x:f>SUM(L23:L26)</x:f>
        <x:v>56000</x:v>
      </x:c>
      <x:c r="M27" s="10">
        <x:f>SUM(M23:M26)</x:f>
        <x:v>616000</x:v>
      </x:c>
      <x:c r="N27" s="11"/>
    </x:row>
    <x:row r="28" spans="1:14" ht="20.100000000000001" customHeight="1">
      <x:c r="A28" s="301" t="s">
        <x:v>149</x:v>
      </x:c>
      <x:c r="B28" s="3" t="s">
        <x:v>1009</x:v>
      </x:c>
      <x:c r="C28" s="3" t="s">
        <x:v>164</x:v>
      </x:c>
      <x:c r="D28" s="4">
        <x:v>396000</x:v>
      </x:c>
      <x:c r="E28" s="4">
        <x:f>+D28*0.1</x:f>
        <x:v>39600</x:v>
      </x:c>
      <x:c r="F28" s="5">
        <x:f>+D28+E28</x:f>
        <x:v>435600</x:v>
      </x:c>
      <x:c r="G28" s="6"/>
      <x:c r="H28" s="301" t="s">
        <x:v>149</x:v>
      </x:c>
      <x:c r="I28" s="3" t="s">
        <x:v>952</x:v>
      </x:c>
      <x:c r="J28" s="3" t="s">
        <x:v>28</x:v>
      </x:c>
      <x:c r="K28" s="4">
        <x:v>950000</x:v>
      </x:c>
      <x:c r="L28" s="4">
        <x:f>+K28*0.1</x:f>
        <x:v>95000</x:v>
      </x:c>
      <x:c r="M28" s="5">
        <x:f t="shared" ref="M28:M37" si="4">+K28+L28</x:f>
        <x:v>1045000</x:v>
      </x:c>
      <x:c r="N28" s="6"/>
    </x:row>
    <x:row r="29" spans="1:14" ht="20.100000000000001" customHeight="1">
      <x:c r="A29" s="299"/>
      <x:c r="B29" s="3" t="s">
        <x:v>174</x:v>
      </x:c>
      <x:c r="C29" s="3" t="s">
        <x:v>941</x:v>
      </x:c>
      <x:c r="D29" s="4">
        <x:v>500000</x:v>
      </x:c>
      <x:c r="E29" s="4"/>
      <x:c r="F29" s="5">
        <x:f>+D29+E29</x:f>
        <x:v>500000</x:v>
      </x:c>
      <x:c r="G29" s="6"/>
      <x:c r="H29" s="299"/>
      <x:c r="I29" s="3" t="s">
        <x:v>959</x:v>
      </x:c>
      <x:c r="J29" s="3" t="s">
        <x:v>825</x:v>
      </x:c>
      <x:c r="K29" s="4">
        <x:v>1620000</x:v>
      </x:c>
      <x:c r="L29" s="4">
        <x:f>+K29*0.1</x:f>
        <x:v>162000</x:v>
      </x:c>
      <x:c r="M29" s="5">
        <x:f t="shared" si="4"/>
        <x:v>1782000</x:v>
      </x:c>
      <x:c r="N29" s="6"/>
    </x:row>
    <x:row r="30" spans="1:14" ht="20.100000000000001" customHeight="1">
      <x:c r="A30" s="299"/>
      <x:c r="B30" s="3" t="s">
        <x:v>947</x:v>
      </x:c>
      <x:c r="C30" s="3" t="s">
        <x:v>914</x:v>
      </x:c>
      <x:c r="D30" s="4">
        <x:v>130000</x:v>
      </x:c>
      <x:c r="E30" s="4">
        <x:f>+D30*0.1</x:f>
        <x:v>13000</x:v>
      </x:c>
      <x:c r="F30" s="5">
        <x:f>+D30+E30</x:f>
        <x:v>143000</x:v>
      </x:c>
      <x:c r="G30" s="6"/>
      <x:c r="H30" s="299"/>
      <x:c r="I30" s="3" t="s">
        <x:v>186</x:v>
      </x:c>
      <x:c r="J30" s="3" t="s">
        <x:v>941</x:v>
      </x:c>
      <x:c r="K30" s="4">
        <x:v>550000</x:v>
      </x:c>
      <x:c r="L30" s="4"/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828</x:v>
      </x:c>
      <x:c r="C31" s="3" t="s">
        <x:v>167</x:v>
      </x:c>
      <x:c r="D31" s="4">
        <x:v>188000</x:v>
      </x:c>
      <x:c r="E31" s="4">
        <x:f>+D31*0.1</x:f>
        <x:v>18800</x:v>
      </x:c>
      <x:c r="F31" s="5">
        <x:f>+D31+E31</x:f>
        <x:v>206800</x:v>
      </x:c>
      <x:c r="G31" s="6"/>
      <x:c r="H31" s="299"/>
      <x:c r="I31" s="3" t="s">
        <x:v>923</x:v>
      </x:c>
      <x:c r="J31" s="3" t="s">
        <x:v>896</x:v>
      </x:c>
      <x:c r="K31" s="4">
        <x:v>300000</x:v>
      </x:c>
      <x:c r="L31" s="4">
        <x:f>K31*0.1</x:f>
        <x:v>30000</x:v>
      </x:c>
      <x:c r="M31" s="5">
        <x:f t="shared" si="4"/>
        <x:v>330000</x:v>
      </x:c>
      <x:c r="N31" s="6"/>
    </x:row>
    <x:row r="32" spans="1:14" ht="20.100000000000001" customHeight="1">
      <x:c r="A32" s="299"/>
      <x:c r="B32" s="3" t="s">
        <x:v>169</x:v>
      </x:c>
      <x:c r="C32" s="3" t="s">
        <x:v>837</x:v>
      </x:c>
      <x:c r="D32" s="4">
        <x:v>2150230</x:v>
      </x:c>
      <x:c r="E32" s="4"/>
      <x:c r="F32" s="5">
        <x:f t="shared" ref="F32:F37" si="5">+D32+E32</x:f>
        <x:v>2150230</x:v>
      </x:c>
      <x:c r="G32" s="6"/>
      <x:c r="H32" s="299"/>
      <x:c r="I32" s="3" t="s">
        <x:v>1680</x:v>
      </x:c>
      <x:c r="J32" s="3" t="s">
        <x:v>1695</x:v>
      </x:c>
      <x:c r="K32" s="4">
        <x:v>130000</x:v>
      </x:c>
      <x:c r="L32" s="4">
        <x:f>K32*0.1</x:f>
        <x:v>13000</x:v>
      </x:c>
      <x:c r="M32" s="5">
        <x:f t="shared" si="4"/>
        <x:v>143000</x:v>
      </x:c>
      <x:c r="N32" s="6"/>
    </x:row>
    <x:row r="33" spans="1:14" ht="20.100000000000001" customHeight="1">
      <x:c r="A33" s="299"/>
      <x:c r="B33" s="3" t="s">
        <x:v>1017</x:v>
      </x:c>
      <x:c r="C33" s="3" t="s">
        <x:v>1018</x:v>
      </x:c>
      <x:c r="D33" s="44">
        <x:v>200000</x:v>
      </x:c>
      <x:c r="E33" s="44">
        <x:f>D33*0.1</x:f>
        <x:v>20000</x:v>
      </x:c>
      <x:c r="F33" s="45">
        <x:f t="shared" si="5"/>
        <x:v>220000</x:v>
      </x:c>
      <x:c r="G33" s="6"/>
      <x:c r="H33" s="299"/>
      <x:c r="I33" s="3" t="s">
        <x:v>185</x:v>
      </x:c>
      <x:c r="J33" s="3" t="s">
        <x:v>149</x:v>
      </x:c>
      <x:c r="K33" s="4">
        <x:v>1357790</x:v>
      </x:c>
      <x:c r="L33" s="4">
        <x:v>7000</x:v>
      </x:c>
      <x:c r="M33" s="5">
        <x:f t="shared" si="4"/>
        <x:v>1364790</x:v>
      </x:c>
      <x:c r="N33" s="6"/>
    </x:row>
    <x:row r="34" spans="1:14" ht="20.100000000000001" customHeight="1">
      <x:c r="A34" s="299"/>
      <x:c r="B34" s="3" t="s">
        <x:v>169</x:v>
      </x:c>
      <x:c r="C34" s="3" t="s">
        <x:v>1013</x:v>
      </x:c>
      <x:c r="D34" s="4">
        <x:v>2000000</x:v>
      </x:c>
      <x:c r="E34" s="4"/>
      <x:c r="F34" s="5">
        <x:f t="shared" si="5"/>
        <x:v>2000000</x:v>
      </x:c>
      <x:c r="G34" s="6"/>
      <x:c r="H34" s="299"/>
      <x:c r="I34" s="3" t="s">
        <x:v>1699</x:v>
      </x:c>
      <x:c r="J34" s="3" t="s">
        <x:v>167</x:v>
      </x:c>
      <x:c r="K34" s="4">
        <x:v>155000</x:v>
      </x:c>
      <x:c r="L34" s="4">
        <x:f>K34*0.1</x:f>
        <x:v>15500</x:v>
      </x:c>
      <x:c r="M34" s="5">
        <x:f t="shared" si="4"/>
        <x:v>170500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5"/>
        <x:v>0</x:v>
      </x:c>
      <x:c r="G35" s="6"/>
      <x:c r="H35" s="299"/>
      <x:c r="I35" s="3" t="s">
        <x:v>994</x:v>
      </x:c>
      <x:c r="J35" s="3" t="s">
        <x:v>8</x:v>
      </x:c>
      <x:c r="K35" s="4">
        <x:v>424546</x:v>
      </x:c>
      <x:c r="L35" s="4">
        <x:v>42454</x:v>
      </x:c>
      <x:c r="M35" s="5">
        <x:f t="shared" si="4"/>
        <x:v>467000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5564230</x:v>
      </x:c>
      <x:c r="E38" s="9">
        <x:f>SUM(E28:E37)</x:f>
        <x:v>91400</x:v>
      </x:c>
      <x:c r="F38" s="10">
        <x:f>SUM(F28:F37)</x:f>
        <x:v>5655630</x:v>
      </x:c>
      <x:c r="G38" s="11"/>
      <x:c r="H38" s="7"/>
      <x:c r="I38" s="8"/>
      <x:c r="J38" s="8"/>
      <x:c r="K38" s="9">
        <x:f>SUM(K28:K37)</x:f>
        <x:v>5487336</x:v>
      </x:c>
      <x:c r="L38" s="9">
        <x:f>SUM(L28:L37)</x:f>
        <x:v>364954</x:v>
      </x:c>
      <x:c r="M38" s="10">
        <x:f>SUM(M28:M37)</x:f>
        <x:v>5852290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94067730</x:v>
      </x:c>
      <x:c r="E39" s="14">
        <x:f>+E15+E22+E27+E38</x:f>
        <x:v>4235390</x:v>
      </x:c>
      <x:c r="F39" s="15">
        <x:f>+F15+F22+F27+F38</x:f>
        <x:v>98303120</x:v>
      </x:c>
      <x:c r="G39" s="16"/>
      <x:c r="H39" s="12"/>
      <x:c r="I39" s="13"/>
      <x:c r="J39" s="13"/>
      <x:c r="K39" s="14">
        <x:f>+K15+K22+K27+K38</x:f>
        <x:v>129886586</x:v>
      </x:c>
      <x:c r="L39" s="14">
        <x:f>+L15+L22+L27+L38</x:f>
        <x:v>9507879</x:v>
      </x:c>
      <x:c r="M39" s="15">
        <x:f>+M15+M22+M27+M38</x:f>
        <x:v>139394465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39572270</x:v>
      </x:c>
      <x:c r="E40" s="25">
        <x:f>+E4-E39</x:f>
        <x:v>2124610</x:v>
      </x:c>
      <x:c r="F40" s="26">
        <x:f>+F4-F39</x:f>
        <x:v>41696880</x:v>
      </x:c>
      <x:c r="G40" s="27"/>
      <x:c r="H40" s="23"/>
      <x:c r="I40" s="24"/>
      <x:c r="J40" s="24"/>
      <x:c r="K40" s="25">
        <x:f>+K4-K39</x:f>
        <x:v>48613414</x:v>
      </x:c>
      <x:c r="L40" s="25">
        <x:f>+L4-L39</x:f>
        <x:v>-9507879</x:v>
      </x:c>
      <x:c r="M40" s="26">
        <x:f>+M4-M39</x:f>
        <x:v>39105535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30" t="s">
        <x:v>144</x:v>
      </x:c>
      <x:c r="C42" s="30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30" t="s">
        <x:v>144</x:v>
      </x:c>
      <x:c r="J42" s="30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57" t="s">
        <x:v>151</x:v>
      </x:c>
      <x:c r="B43" s="38" t="s">
        <x:v>1679</x:v>
      </x:c>
      <x:c r="C43" s="38" t="s">
        <x:v>1030</x:v>
      </x:c>
      <x:c r="D43" s="39"/>
      <x:c r="E43" s="39"/>
      <x:c r="F43" s="40">
        <x:f>+D43+E43</x:f>
        <x:v>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f>42520000+28300000</x:f>
        <x:v>70820000</x:v>
      </x:c>
      <x:c r="L43" s="39">
        <x:f>480000+320000</x:f>
        <x:v>800000</x:v>
      </x:c>
      <x:c r="M43" s="40">
        <x:f>+K43+L43</x:f>
        <x:v>71620000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/>
      <x:c r="D44" s="20"/>
      <x:c r="E44" s="20"/>
      <x:c r="F44" s="21">
        <x:f>+D44+E44</x:f>
        <x:v>0</x:v>
      </x:c>
      <x:c r="G44" s="22"/>
      <x:c r="H44" s="298" t="s">
        <x:v>148</x:v>
      </x:c>
      <x:c r="I44" s="19" t="s">
        <x:v>838</x:v>
      </x:c>
      <x:c r="J44" s="19" t="s">
        <x:v>942</x:v>
      </x:c>
      <x:c r="K44" s="20">
        <x:v>2049684</x:v>
      </x:c>
      <x:c r="L44" s="20">
        <x:f>K44*0.1</x:f>
        <x:v>204968.40000000002</x:v>
      </x:c>
      <x:c r="M44" s="21">
        <x:f t="shared" ref="M44:M58" si="6">+K44+L44</x:f>
        <x:v>2254652.3999999999</x:v>
      </x:c>
      <x:c r="N44" s="22"/>
    </x:row>
    <x:row r="45" spans="1:14" ht="20.100000000000001" customHeight="1">
      <x:c r="A45" s="299"/>
      <x:c r="B45" s="3" t="s">
        <x:v>21</x:v>
      </x:c>
      <x:c r="C45" s="3" t="s">
        <x:v>1035</x:v>
      </x:c>
      <x:c r="D45" s="4">
        <x:v>2140100</x:v>
      </x:c>
      <x:c r="E45" s="4">
        <x:f>D45*0.1</x:f>
        <x:v>214010</x:v>
      </x:c>
      <x:c r="F45" s="5">
        <x:f>+D45+E45</x:f>
        <x:v>2354110</x:v>
      </x:c>
      <x:c r="G45" s="6"/>
      <x:c r="H45" s="299"/>
      <x:c r="I45" s="3" t="s">
        <x:v>21</x:v>
      </x:c>
      <x:c r="J45" s="3" t="s">
        <x:v>1031</x:v>
      </x:c>
      <x:c r="K45" s="4">
        <x:v>1918000</x:v>
      </x:c>
      <x:c r="L45" s="4">
        <x:f>+K45*0.1</x:f>
        <x:v>191800</x:v>
      </x:c>
      <x:c r="M45" s="5">
        <x:f t="shared" si="6"/>
        <x:v>2109800</x:v>
      </x:c>
      <x:c r="N45" s="6"/>
    </x:row>
    <x:row r="46" spans="1:14" ht="20.100000000000001" customHeight="1">
      <x:c r="A46" s="299"/>
      <x:c r="B46" s="3" t="s">
        <x:v>34</x:v>
      </x:c>
      <x:c r="C46" s="3"/>
      <x:c r="D46" s="4"/>
      <x:c r="E46" s="4"/>
      <x:c r="F46" s="5">
        <x:f>+D46+E46</x:f>
        <x:v>0</x:v>
      </x:c>
      <x:c r="G46" s="6"/>
      <x:c r="H46" s="299"/>
      <x:c r="I46" s="3" t="s">
        <x:v>34</x:v>
      </x:c>
      <x:c r="J46" s="3" t="s">
        <x:v>23</x:v>
      </x:c>
      <x:c r="K46" s="4">
        <x:v>3679100</x:v>
      </x:c>
      <x:c r="L46" s="4">
        <x:f>K46*0.1</x:f>
        <x:v>367910</x:v>
      </x:c>
      <x:c r="M46" s="5">
        <x:f t="shared" si="6"/>
        <x:v>4047010</x:v>
      </x:c>
      <x:c r="N46" s="6"/>
    </x:row>
    <x:row r="47" spans="1:14" ht="20.100000000000001" customHeight="1">
      <x:c r="A47" s="299"/>
      <x:c r="B47" s="3" t="s">
        <x:v>840</x:v>
      </x:c>
      <x:c r="C47" s="3" t="s">
        <x:v>628</x:v>
      </x:c>
      <x:c r="D47" s="4">
        <x:v>1584800</x:v>
      </x:c>
      <x:c r="E47" s="4">
        <x:f>D47*0.1</x:f>
        <x:v>158480</x:v>
      </x:c>
      <x:c r="F47" s="5">
        <x:f>+D47+E47</x:f>
        <x:v>1743280</x:v>
      </x:c>
      <x:c r="G47" s="6"/>
      <x:c r="H47" s="299"/>
      <x:c r="I47" s="3" t="s">
        <x:v>1705</x:v>
      </x:c>
      <x:c r="J47" s="3" t="s">
        <x:v>626</x:v>
      </x:c>
      <x:c r="K47" s="4">
        <x:v>610000</x:v>
      </x:c>
      <x:c r="L47" s="4">
        <x:f>K47*0.1</x:f>
        <x:v>61000</x:v>
      </x:c>
      <x:c r="M47" s="5">
        <x:f t="shared" si="6"/>
        <x:v>671000</x:v>
      </x:c>
      <x:c r="N47" s="6"/>
    </x:row>
    <x:row r="48" spans="1:14" ht="20.100000000000001" customHeight="1">
      <x:c r="A48" s="299"/>
      <x:c r="B48" s="3" t="s">
        <x:v>892</x:v>
      </x:c>
      <x:c r="C48" s="3"/>
      <x:c r="D48" s="4"/>
      <x:c r="E48" s="4"/>
      <x:c r="F48" s="5">
        <x:f t="shared" ref="F48:F57" si="7">+D48+E48</x:f>
        <x:v>0</x:v>
      </x:c>
      <x:c r="G48" s="6"/>
      <x:c r="H48" s="299"/>
      <x:c r="I48" s="3" t="s">
        <x:v>840</x:v>
      </x:c>
      <x:c r="J48" s="3"/>
      <x:c r="K48" s="4"/>
      <x:c r="L48" s="4"/>
      <x:c r="M48" s="5">
        <x:f t="shared" si="6"/>
        <x:v>0</x:v>
      </x:c>
      <x:c r="N48" s="6"/>
    </x:row>
    <x:row r="49" spans="1:14" ht="20.100000000000001" customHeight="1">
      <x:c r="A49" s="299"/>
      <x:c r="B49" s="3" t="s">
        <x:v>846</x:v>
      </x:c>
      <x:c r="C49" s="3" t="s">
        <x:v>347</x:v>
      </x:c>
      <x:c r="D49" s="4">
        <x:v>83000</x:v>
      </x:c>
      <x:c r="E49" s="4">
        <x:f>D49*0.1</x:f>
        <x:v>8300</x:v>
      </x:c>
      <x:c r="F49" s="5">
        <x:f t="shared" si="7"/>
        <x:v>91300</x:v>
      </x:c>
      <x:c r="G49" s="6"/>
      <x:c r="H49" s="299"/>
      <x:c r="I49" s="3" t="s">
        <x:v>846</x:v>
      </x:c>
      <x:c r="J49" s="3" t="s">
        <x:v>627</x:v>
      </x:c>
      <x:c r="K49" s="4">
        <x:v>582200</x:v>
      </x:c>
      <x:c r="L49" s="4">
        <x:f>K49*0.1</x:f>
        <x:v>58220</x:v>
      </x:c>
      <x:c r="M49" s="5">
        <x:f t="shared" si="6"/>
        <x:v>640420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8">+INT(D50*0.1)</x:f>
        <x:v>0</x:v>
      </x:c>
      <x:c r="F50" s="5">
        <x:f t="shared" si="7"/>
        <x:v>0</x:v>
      </x:c>
      <x:c r="G50" s="6"/>
      <x:c r="H50" s="299"/>
      <x:c r="I50" s="3" t="s">
        <x:v>1004</x:v>
      </x:c>
      <x:c r="J50" s="3" t="s">
        <x:v>1014</x:v>
      </x:c>
      <x:c r="K50" s="4">
        <x:v>2591889</x:v>
      </x:c>
      <x:c r="L50" s="4">
        <x:v>259188</x:v>
      </x:c>
      <x:c r="M50" s="5">
        <x:f t="shared" si="6"/>
        <x:v>2851077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8"/>
        <x:v>0</x:v>
      </x:c>
      <x:c r="F51" s="5">
        <x:f t="shared" si="7"/>
        <x:v>0</x:v>
      </x:c>
      <x:c r="G51" s="6"/>
      <x:c r="H51" s="299"/>
      <x:c r="I51" s="3"/>
      <x:c r="J51" s="3"/>
      <x:c r="K51" s="4"/>
      <x:c r="L51" s="4">
        <x:f t="shared" ref="L51:L58" si="9">+K51*0.1</x:f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8"/>
        <x:v>0</x:v>
      </x:c>
      <x:c r="F52" s="5">
        <x:f t="shared" si="7"/>
        <x:v>0</x:v>
      </x:c>
      <x:c r="G52" s="6"/>
      <x:c r="H52" s="299"/>
      <x:c r="I52" s="3"/>
      <x:c r="J52" s="3"/>
      <x:c r="K52" s="4"/>
      <x:c r="L52" s="4">
        <x:f t="shared" si="9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8"/>
        <x:v>0</x:v>
      </x:c>
      <x:c r="F53" s="5">
        <x:f t="shared" si="7"/>
        <x:v>0</x:v>
      </x:c>
      <x:c r="G53" s="6"/>
      <x:c r="H53" s="299"/>
      <x:c r="I53" s="3"/>
      <x:c r="J53" s="3"/>
      <x:c r="K53" s="4"/>
      <x:c r="L53" s="4">
        <x:f t="shared" si="9"/>
        <x:v>0</x:v>
      </x:c>
      <x:c r="M53" s="5">
        <x:f t="shared" si="6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8"/>
        <x:v>0</x:v>
      </x:c>
      <x:c r="F54" s="5">
        <x:f t="shared" si="7"/>
        <x:v>0</x:v>
      </x:c>
      <x:c r="G54" s="6"/>
      <x:c r="H54" s="299"/>
      <x:c r="I54" s="3"/>
      <x:c r="J54" s="3"/>
      <x:c r="K54" s="4"/>
      <x:c r="L54" s="4">
        <x:f t="shared" si="9"/>
        <x:v>0</x:v>
      </x:c>
      <x:c r="M54" s="5">
        <x:f t="shared" si="6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8"/>
        <x:v>0</x:v>
      </x:c>
      <x:c r="F55" s="5">
        <x:f t="shared" si="7"/>
        <x:v>0</x:v>
      </x:c>
      <x:c r="G55" s="6"/>
      <x:c r="H55" s="299"/>
      <x:c r="I55" s="3"/>
      <x:c r="J55" s="3"/>
      <x:c r="K55" s="4"/>
      <x:c r="L55" s="4">
        <x:f t="shared" si="9"/>
        <x:v>0</x:v>
      </x:c>
      <x:c r="M55" s="5">
        <x:f t="shared" si="6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8"/>
        <x:v>0</x:v>
      </x:c>
      <x:c r="F56" s="5">
        <x:f t="shared" si="7"/>
        <x:v>0</x:v>
      </x:c>
      <x:c r="G56" s="6"/>
      <x:c r="H56" s="299"/>
      <x:c r="I56" s="3"/>
      <x:c r="J56" s="3"/>
      <x:c r="K56" s="4"/>
      <x:c r="L56" s="4">
        <x:f t="shared" si="9"/>
        <x:v>0</x:v>
      </x:c>
      <x:c r="M56" s="5">
        <x:f t="shared" si="6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8"/>
        <x:v>0</x:v>
      </x:c>
      <x:c r="F57" s="5">
        <x:f t="shared" si="7"/>
        <x:v>0</x:v>
      </x:c>
      <x:c r="G57" s="6"/>
      <x:c r="H57" s="299"/>
      <x:c r="I57" s="3"/>
      <x:c r="J57" s="3"/>
      <x:c r="K57" s="4"/>
      <x:c r="L57" s="4">
        <x:f t="shared" si="9"/>
        <x:v>0</x:v>
      </x:c>
      <x:c r="M57" s="5">
        <x:f t="shared" si="6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 t="shared" si="9"/>
        <x:v>0</x:v>
      </x:c>
      <x:c r="M58" s="5">
        <x:f t="shared" si="6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3807900</x:v>
      </x:c>
      <x:c r="E59" s="9">
        <x:f>SUM(E44:E58)</x:f>
        <x:v>380790</x:v>
      </x:c>
      <x:c r="F59" s="10">
        <x:f>SUM(F44:F58)</x:f>
        <x:v>4188690</x:v>
      </x:c>
      <x:c r="G59" s="11"/>
      <x:c r="H59" s="7"/>
      <x:c r="I59" s="8"/>
      <x:c r="J59" s="8"/>
      <x:c r="K59" s="9">
        <x:f>SUM(K44:K58)</x:f>
        <x:v>11430873</x:v>
      </x:c>
      <x:c r="L59" s="9">
        <x:f>SUM(L44:L58)</x:f>
        <x:v>1143086.3999999999</x:v>
      </x:c>
      <x:c r="M59" s="10">
        <x:f>SUM(M44:M58)</x:f>
        <x:v>12573959.4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/>
      <x:c r="D60" s="44">
        <x:v>4590000</x:v>
      </x:c>
      <x:c r="E60" s="44"/>
      <x:c r="F60" s="45">
        <x:f>+D60+E60</x:f>
        <x:v>4590000</x:v>
      </x:c>
      <x:c r="G60" s="37"/>
      <x:c r="H60" s="301" t="s">
        <x:v>153</x:v>
      </x:c>
      <x:c r="I60" s="3" t="s">
        <x:v>1677</x:v>
      </x:c>
      <x:c r="J60" s="3"/>
      <x:c r="K60" s="4">
        <x:v>18345000</x:v>
      </x:c>
      <x:c r="L60" s="4"/>
      <x:c r="M60" s="5">
        <x:f>+K60+L60</x:f>
        <x:v>18345000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 t="s">
        <x:v>1050</x:v>
      </x:c>
      <x:c r="J61" s="3" t="s">
        <x:v>212</x:v>
      </x:c>
      <x:c r="K61" s="4">
        <x:v>4619300</x:v>
      </x:c>
      <x:c r="L61" s="4">
        <x:v>-143300</x:v>
      </x:c>
      <x:c r="M61" s="5">
        <x:f>+K61+L61</x:f>
        <x:v>4476000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4590000</x:v>
      </x:c>
      <x:c r="E64" s="9">
        <x:f>SUM(E60:E63)</x:f>
        <x:v>0</x:v>
      </x:c>
      <x:c r="F64" s="10">
        <x:f>SUM(F60:F63)</x:f>
        <x:v>4590000</x:v>
      </x:c>
      <x:c r="G64" s="11"/>
      <x:c r="H64" s="7"/>
      <x:c r="I64" s="8"/>
      <x:c r="J64" s="8"/>
      <x:c r="K64" s="9">
        <x:f>SUM(K60:K63)</x:f>
        <x:v>22964300</x:v>
      </x:c>
      <x:c r="L64" s="9">
        <x:f>SUM(L60:L63)</x:f>
        <x:v>-143300</x:v>
      </x:c>
      <x:c r="M64" s="10">
        <x:f>SUM(M60:M63)</x:f>
        <x:v>22821000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/>
      <x:c r="F70" s="5">
        <x:f>+D70+E70</x:f>
        <x:v>450000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1288530</x:v>
      </x:c>
      <x:c r="L70" s="4"/>
      <x:c r="M70" s="5">
        <x:f t="shared" ref="M70:M77" si="10">+K70+L70</x:f>
        <x:v>1288530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/>
      <x:c r="E71" s="4"/>
      <x:c r="F71" s="5">
        <x:f t="shared" ref="F71:F79" si="11">+D71+E71</x:f>
        <x:v>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0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/>
      <x:c r="E72" s="4"/>
      <x:c r="F72" s="5">
        <x:f t="shared" si="11"/>
        <x:v>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0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1"/>
        <x:v>110000</x:v>
      </x:c>
      <x:c r="G73" s="6"/>
      <x:c r="H73" s="299"/>
      <x:c r="I73" s="3" t="s">
        <x:v>945</x:v>
      </x:c>
      <x:c r="J73" s="3" t="s">
        <x:v>962</x:v>
      </x:c>
      <x:c r="K73" s="4">
        <x:v>528000</x:v>
      </x:c>
      <x:c r="L73" s="4">
        <x:f>+K73*0.1</x:f>
        <x:v>52800</x:v>
      </x:c>
      <x:c r="M73" s="5">
        <x:f t="shared" si="10"/>
        <x:v>580800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/>
      <x:c r="E74" s="4"/>
      <x:c r="F74" s="5">
        <x:f t="shared" si="11"/>
        <x:v>0</x:v>
      </x:c>
      <x:c r="G74" s="6"/>
      <x:c r="H74" s="299"/>
      <x:c r="I74" s="3" t="s">
        <x:v>1038</x:v>
      </x:c>
      <x:c r="J74" s="3" t="s">
        <x:v>167</x:v>
      </x:c>
      <x:c r="K74" s="4">
        <x:v>92000</x:v>
      </x:c>
      <x:c r="L74" s="4">
        <x:f>+K74*0.1</x:f>
        <x:v>9200</x:v>
      </x:c>
      <x:c r="M74" s="5">
        <x:f t="shared" si="10"/>
        <x:v>101200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1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0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>
        <x:f>+D76*0.1</x:f>
        <x:v>0</x:v>
      </x:c>
      <x:c r="F76" s="5">
        <x:f t="shared" si="11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0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1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0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1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1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550000</x:v>
      </x:c>
      <x:c r="E80" s="9">
        <x:f>SUM(E70:E79)</x:f>
        <x:v>10000</x:v>
      </x:c>
      <x:c r="F80" s="10">
        <x:f>SUM(F70:F79)</x:f>
        <x:v>560000</x:v>
      </x:c>
      <x:c r="G80" s="11"/>
      <x:c r="H80" s="7"/>
      <x:c r="I80" s="8"/>
      <x:c r="J80" s="8"/>
      <x:c r="K80" s="9">
        <x:f>SUM(K70:K79)</x:f>
        <x:v>2316400</x:v>
      </x:c>
      <x:c r="L80" s="9">
        <x:f>SUM(L70:L79)</x:f>
        <x:v>66000</x:v>
      </x:c>
      <x:c r="M80" s="10">
        <x:f>SUM(M70:M79)</x:f>
        <x:v>2382400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8947900</x:v>
      </x:c>
      <x:c r="E81" s="14">
        <x:f>+E59+E64+E69+E80</x:f>
        <x:v>390790</x:v>
      </x:c>
      <x:c r="F81" s="15">
        <x:f>+F59+F64+F69+F80</x:f>
        <x:v>9338690</x:v>
      </x:c>
      <x:c r="G81" s="16"/>
      <x:c r="H81" s="12"/>
      <x:c r="I81" s="13"/>
      <x:c r="J81" s="13"/>
      <x:c r="K81" s="14">
        <x:f>+K59+K64+K69+K80</x:f>
        <x:v>36711573</x:v>
      </x:c>
      <x:c r="L81" s="14">
        <x:f>+L59+L64+L69+L80</x:f>
        <x:v>1065786.3999999999</x:v>
      </x:c>
      <x:c r="M81" s="15">
        <x:f>+M59+M64+M69+M80</x:f>
        <x:v>37777359.399999999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-8947900</x:v>
      </x:c>
      <x:c r="E82" s="25">
        <x:f>+E43-E81</x:f>
        <x:v>-390790</x:v>
      </x:c>
      <x:c r="F82" s="26">
        <x:f>+F43-F81</x:f>
        <x:v>-9338690</x:v>
      </x:c>
      <x:c r="G82" s="27"/>
      <x:c r="H82" s="23"/>
      <x:c r="I82" s="24"/>
      <x:c r="J82" s="24"/>
      <x:c r="K82" s="25">
        <x:f>+K43-K81</x:f>
        <x:v>34108427</x:v>
      </x:c>
      <x:c r="L82" s="25">
        <x:f>+L43-L81</x:f>
        <x:v>-265786.39999999991</x:v>
      </x:c>
      <x:c r="M82" s="26">
        <x:f>+M43-M81</x:f>
        <x:v>33842640.600000001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30" t="s">
        <x:v>144</x:v>
      </x:c>
      <x:c r="C84" s="30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30" t="s">
        <x:v>144</x:v>
      </x:c>
      <x:c r="J84" s="30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57" t="s">
        <x:v>151</x:v>
      </x:c>
      <x:c r="B85" s="38" t="s">
        <x:v>1679</x:v>
      </x:c>
      <x:c r="C85" s="38" t="s">
        <x:v>1030</x:v>
      </x:c>
      <x:c r="D85" s="39">
        <x:v>34631829</x:v>
      </x:c>
      <x:c r="E85" s="39">
        <x:v>368171</x:v>
      </x:c>
      <x:c r="F85" s="40">
        <x:f>+D85+E85</x:f>
        <x:v>35000000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39652879</x:v>
      </x:c>
      <x:c r="L85" s="39">
        <x:v>347121</x:v>
      </x:c>
      <x:c r="M85" s="40">
        <x:f>+K85+L85</x:f>
        <x:v>40000000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636</x:v>
      </x:c>
      <x:c r="D86" s="20">
        <x:v>84000</x:v>
      </x:c>
      <x:c r="E86" s="20">
        <x:f>+D86*0.1</x:f>
        <x:v>8400</x:v>
      </x:c>
      <x:c r="F86" s="21">
        <x:f>+D86+E86</x:f>
        <x:v>92400</x:v>
      </x:c>
      <x:c r="G86" s="22"/>
      <x:c r="H86" s="298" t="s">
        <x:v>148</x:v>
      </x:c>
      <x:c r="I86" s="19" t="s">
        <x:v>838</x:v>
      </x:c>
      <x:c r="J86" s="19" t="s">
        <x:v>942</x:v>
      </x:c>
      <x:c r="K86" s="20">
        <x:v>2194200</x:v>
      </x:c>
      <x:c r="L86" s="20">
        <x:f>+K86*0.1</x:f>
        <x:v>219420</x:v>
      </x:c>
      <x:c r="M86" s="21">
        <x:f t="shared" ref="M86:M100" si="12">+K86+L86</x:f>
        <x:v>2413620</x:v>
      </x:c>
      <x:c r="N86" s="22"/>
    </x:row>
    <x:row r="87" spans="1:14" ht="20.100000000000001" customHeight="1">
      <x:c r="A87" s="299"/>
      <x:c r="B87" s="3" t="s">
        <x:v>867</x:v>
      </x:c>
      <x:c r="C87" s="3" t="s">
        <x:v>80</x:v>
      </x:c>
      <x:c r="D87" s="4">
        <x:v>480000</x:v>
      </x:c>
      <x:c r="E87" s="4">
        <x:f>+D87*0.1</x:f>
        <x:v>48000</x:v>
      </x:c>
      <x:c r="F87" s="5">
        <x:f>+D87+E87</x:f>
        <x:v>528000</x:v>
      </x:c>
      <x:c r="G87" s="6"/>
      <x:c r="H87" s="299"/>
      <x:c r="I87" s="3" t="s">
        <x:v>867</x:v>
      </x:c>
      <x:c r="J87" s="3" t="s">
        <x:v>72</x:v>
      </x:c>
      <x:c r="K87" s="4">
        <x:v>654200</x:v>
      </x:c>
      <x:c r="L87" s="4">
        <x:f>K87*0.1</x:f>
        <x:v>65420</x:v>
      </x:c>
      <x:c r="M87" s="5">
        <x:f t="shared" si="12"/>
        <x:v>719620</x:v>
      </x:c>
      <x:c r="N87" s="6"/>
    </x:row>
    <x:row r="88" spans="1:14" ht="20.100000000000001" customHeight="1">
      <x:c r="A88" s="299"/>
      <x:c r="B88" s="3" t="s">
        <x:v>840</x:v>
      </x:c>
      <x:c r="C88" s="3" t="s">
        <x:v>628</x:v>
      </x:c>
      <x:c r="D88" s="4">
        <x:v>745300</x:v>
      </x:c>
      <x:c r="E88" s="4">
        <x:f>+D88*0.1</x:f>
        <x:v>74530</x:v>
      </x:c>
      <x:c r="F88" s="5">
        <x:f>+D88+E88</x:f>
        <x:v>819830</x:v>
      </x:c>
      <x:c r="G88" s="6"/>
      <x:c r="H88" s="299"/>
      <x:c r="I88" s="3" t="s">
        <x:v>840</x:v>
      </x:c>
      <x:c r="J88" s="3"/>
      <x:c r="K88" s="4"/>
      <x:c r="L88" s="4">
        <x:f t="shared" ref="L88:L100" si="13">+K88*0.1</x:f>
        <x:v>0</x:v>
      </x:c>
      <x:c r="M88" s="5">
        <x:f t="shared" si="12"/>
        <x:v>0</x:v>
      </x:c>
      <x:c r="N88" s="6"/>
    </x:row>
    <x:row r="89" spans="1:14" ht="20.100000000000001" customHeight="1">
      <x:c r="A89" s="299"/>
      <x:c r="B89" s="3" t="s">
        <x:v>907</x:v>
      </x:c>
      <x:c r="C89" s="3" t="s">
        <x:v>894</x:v>
      </x:c>
      <x:c r="D89" s="4">
        <x:v>230000</x:v>
      </x:c>
      <x:c r="E89" s="4">
        <x:f t="shared" ref="E89:E99" si="14">+INT(D89*0.1)</x:f>
        <x:v>23000</x:v>
      </x:c>
      <x:c r="F89" s="5">
        <x:f t="shared" ref="F89:F99" si="15">+D89+E89</x:f>
        <x:v>253000</x:v>
      </x:c>
      <x:c r="G89" s="6"/>
      <x:c r="H89" s="299"/>
      <x:c r="I89" s="3" t="s">
        <x:v>976</x:v>
      </x:c>
      <x:c r="J89" s="3" t="s">
        <x:v>335</x:v>
      </x:c>
      <x:c r="K89" s="4">
        <x:v>567100</x:v>
      </x:c>
      <x:c r="L89" s="4">
        <x:f t="shared" si="13"/>
        <x:v>56710</x:v>
      </x:c>
      <x:c r="M89" s="5">
        <x:f t="shared" si="12"/>
        <x:v>623810</x:v>
      </x:c>
      <x:c r="N89" s="6"/>
    </x:row>
    <x:row r="90" spans="1:14" ht="20.100000000000001" customHeight="1">
      <x:c r="A90" s="299"/>
      <x:c r="B90" s="3" t="s">
        <x:v>846</x:v>
      </x:c>
      <x:c r="C90" s="3" t="s">
        <x:v>637</x:v>
      </x:c>
      <x:c r="D90" s="4">
        <x:v>200240</x:v>
      </x:c>
      <x:c r="E90" s="4">
        <x:f t="shared" si="14"/>
        <x:v>20024</x:v>
      </x:c>
      <x:c r="F90" s="5">
        <x:f t="shared" si="15"/>
        <x:v>220264</x:v>
      </x:c>
      <x:c r="G90" s="6"/>
      <x:c r="H90" s="299"/>
      <x:c r="I90" s="3" t="s">
        <x:v>846</x:v>
      </x:c>
      <x:c r="J90" s="3" t="s">
        <x:v>364</x:v>
      </x:c>
      <x:c r="K90" s="4">
        <x:v>759808</x:v>
      </x:c>
      <x:c r="L90" s="4">
        <x:f>+K90*0.1-1</x:f>
        <x:v>75979.800000000003</x:v>
      </x:c>
      <x:c r="M90" s="5">
        <x:f t="shared" si="12"/>
        <x:v>835787.80000000005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4"/>
        <x:v>0</x:v>
      </x:c>
      <x:c r="F91" s="5">
        <x:f t="shared" si="15"/>
        <x:v>0</x:v>
      </x:c>
      <x:c r="G91" s="6"/>
      <x:c r="H91" s="299"/>
      <x:c r="I91" s="3"/>
      <x:c r="J91" s="3"/>
      <x:c r="K91" s="4"/>
      <x:c r="L91" s="4">
        <x:f t="shared" si="13"/>
        <x:v>0</x:v>
      </x:c>
      <x:c r="M91" s="5">
        <x:f t="shared" si="12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4"/>
        <x:v>0</x:v>
      </x:c>
      <x:c r="F92" s="5">
        <x:f t="shared" si="15"/>
        <x:v>0</x:v>
      </x:c>
      <x:c r="G92" s="6"/>
      <x:c r="H92" s="299"/>
      <x:c r="I92" s="3"/>
      <x:c r="J92" s="3"/>
      <x:c r="K92" s="4"/>
      <x:c r="L92" s="4">
        <x:f t="shared" si="13"/>
        <x:v>0</x:v>
      </x:c>
      <x:c r="M92" s="5">
        <x:f t="shared" si="12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4"/>
        <x:v>0</x:v>
      </x:c>
      <x:c r="F93" s="5">
        <x:f t="shared" si="15"/>
        <x:v>0</x:v>
      </x:c>
      <x:c r="G93" s="6"/>
      <x:c r="H93" s="299"/>
      <x:c r="I93" s="3"/>
      <x:c r="J93" s="3"/>
      <x:c r="K93" s="4"/>
      <x:c r="L93" s="4">
        <x:f t="shared" si="13"/>
        <x:v>0</x:v>
      </x:c>
      <x:c r="M93" s="5">
        <x:f t="shared" si="12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4"/>
        <x:v>0</x:v>
      </x:c>
      <x:c r="F94" s="5">
        <x:f t="shared" si="15"/>
        <x:v>0</x:v>
      </x:c>
      <x:c r="G94" s="6"/>
      <x:c r="H94" s="299"/>
      <x:c r="I94" s="3"/>
      <x:c r="J94" s="3"/>
      <x:c r="K94" s="4"/>
      <x:c r="L94" s="4">
        <x:f t="shared" si="13"/>
        <x:v>0</x:v>
      </x:c>
      <x:c r="M94" s="5">
        <x:f t="shared" si="12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4"/>
        <x:v>0</x:v>
      </x:c>
      <x:c r="F95" s="5">
        <x:f t="shared" si="15"/>
        <x:v>0</x:v>
      </x:c>
      <x:c r="G95" s="6"/>
      <x:c r="H95" s="299"/>
      <x:c r="I95" s="3"/>
      <x:c r="J95" s="3"/>
      <x:c r="K95" s="4"/>
      <x:c r="L95" s="4">
        <x:f t="shared" si="13"/>
        <x:v>0</x:v>
      </x:c>
      <x:c r="M95" s="5">
        <x:f t="shared" si="12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4"/>
        <x:v>0</x:v>
      </x:c>
      <x:c r="F96" s="5">
        <x:f t="shared" si="15"/>
        <x:v>0</x:v>
      </x:c>
      <x:c r="G96" s="6"/>
      <x:c r="H96" s="299"/>
      <x:c r="I96" s="3"/>
      <x:c r="J96" s="3"/>
      <x:c r="K96" s="4"/>
      <x:c r="L96" s="4">
        <x:f t="shared" si="13"/>
        <x:v>0</x:v>
      </x:c>
      <x:c r="M96" s="5">
        <x:f t="shared" si="12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4"/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3"/>
        <x:v>0</x:v>
      </x:c>
      <x:c r="M97" s="5">
        <x:f t="shared" si="12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4"/>
        <x:v>0</x:v>
      </x:c>
      <x:c r="F98" s="5">
        <x:f t="shared" si="15"/>
        <x:v>0</x:v>
      </x:c>
      <x:c r="G98" s="6"/>
      <x:c r="H98" s="299"/>
      <x:c r="I98" s="3"/>
      <x:c r="J98" s="3"/>
      <x:c r="K98" s="4"/>
      <x:c r="L98" s="4">
        <x:f t="shared" si="13"/>
        <x:v>0</x:v>
      </x:c>
      <x:c r="M98" s="5">
        <x:f t="shared" si="12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4"/>
        <x:v>0</x:v>
      </x:c>
      <x:c r="F99" s="5">
        <x:f t="shared" si="15"/>
        <x:v>0</x:v>
      </x:c>
      <x:c r="G99" s="6"/>
      <x:c r="H99" s="299"/>
      <x:c r="I99" s="3"/>
      <x:c r="J99" s="3"/>
      <x:c r="K99" s="4"/>
      <x:c r="L99" s="4">
        <x:f t="shared" si="13"/>
        <x:v>0</x:v>
      </x:c>
      <x:c r="M99" s="5">
        <x:f t="shared" si="12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3"/>
        <x:v>0</x:v>
      </x:c>
      <x:c r="M100" s="5">
        <x:f t="shared" si="12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1739540</x:v>
      </x:c>
      <x:c r="E101" s="9">
        <x:f>SUM(E86:E100)</x:f>
        <x:v>173954</x:v>
      </x:c>
      <x:c r="F101" s="10">
        <x:f>SUM(F86:F100)</x:f>
        <x:v>1913494</x:v>
      </x:c>
      <x:c r="G101" s="11"/>
      <x:c r="H101" s="7"/>
      <x:c r="I101" s="8"/>
      <x:c r="J101" s="8"/>
      <x:c r="K101" s="9">
        <x:f>SUM(K86:K100)</x:f>
        <x:v>4175308</x:v>
      </x:c>
      <x:c r="L101" s="9">
        <x:f>SUM(L86:L100)</x:f>
        <x:v>417529.79999999999</x:v>
      </x:c>
      <x:c r="M101" s="10">
        <x:f>SUM(M86:M100)</x:f>
        <x:v>4592837.7999999998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/>
      <x:c r="D102" s="44">
        <x:v>660000</x:v>
      </x:c>
      <x:c r="E102" s="44"/>
      <x:c r="F102" s="45">
        <x:f>+D102+E102</x:f>
        <x:v>660000</x:v>
      </x:c>
      <x:c r="G102" s="37"/>
      <x:c r="H102" s="301" t="s">
        <x:v>153</x:v>
      </x:c>
      <x:c r="I102" s="3" t="s">
        <x:v>1677</x:v>
      </x:c>
      <x:c r="J102" s="3"/>
      <x:c r="K102" s="4">
        <x:v>13475000</x:v>
      </x:c>
      <x:c r="L102" s="4"/>
      <x:c r="M102" s="5">
        <x:f>+K102+L102</x:f>
        <x:v>13475000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660000</x:v>
      </x:c>
      <x:c r="E106" s="9">
        <x:f>SUM(E102:E105)</x:f>
        <x:v>0</x:v>
      </x:c>
      <x:c r="F106" s="10">
        <x:f>SUM(F102:F105)</x:f>
        <x:v>660000</x:v>
      </x:c>
      <x:c r="G106" s="11"/>
      <x:c r="H106" s="7"/>
      <x:c r="I106" s="8"/>
      <x:c r="J106" s="8"/>
      <x:c r="K106" s="9">
        <x:f>SUM(K102:K105)</x:f>
        <x:v>13475000</x:v>
      </x:c>
      <x:c r="L106" s="9">
        <x:f>SUM(L102:L105)</x:f>
        <x:v>0</x:v>
      </x:c>
      <x:c r="M106" s="10">
        <x:f>SUM(M102:M105)</x:f>
        <x:v>13475000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332320</x:v>
      </x:c>
      <x:c r="L112" s="4"/>
      <x:c r="M112" s="5">
        <x:f t="shared" ref="M112:M119" si="16">+K112+L112</x:f>
        <x:v>332320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73</x:v>
      </x:c>
      <x:c r="K113" s="4"/>
      <x:c r="L113" s="4">
        <x:f t="shared" ref="L113:L119" si="17">+K113*0.1</x:f>
        <x:v>0</x:v>
      </x:c>
      <x:c r="M113" s="5">
        <x:f t="shared" si="16"/>
        <x:v>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60000</x:v>
      </x:c>
      <x:c r="E114" s="4">
        <x:f>+D114*0.1</x:f>
        <x:v>6000</x:v>
      </x:c>
      <x:c r="F114" s="5">
        <x:f>+D114+E114</x:f>
        <x:v>66000</x:v>
      </x:c>
      <x:c r="G114" s="6"/>
      <x:c r="H114" s="299"/>
      <x:c r="I114" s="3" t="s">
        <x:v>919</x:v>
      </x:c>
      <x:c r="J114" s="3" t="s">
        <x:v>914</x:v>
      </x:c>
      <x:c r="K114" s="4">
        <x:v>80000</x:v>
      </x:c>
      <x:c r="L114" s="4">
        <x:f t="shared" si="17"/>
        <x:v>8000</x:v>
      </x:c>
      <x:c r="M114" s="5">
        <x:f t="shared" si="16"/>
        <x:v>88000</x:v>
      </x:c>
      <x:c r="N114" s="6"/>
    </x:row>
    <x:row r="115" spans="1:14" ht="20.100000000000001" customHeight="1">
      <x:c r="A115" s="299"/>
      <x:c r="B115" s="3" t="s">
        <x:v>158</x:v>
      </x:c>
      <x:c r="C115" s="3" t="s">
        <x:v>837</x:v>
      </x:c>
      <x:c r="D115" s="4">
        <x:v>200000</x:v>
      </x:c>
      <x:c r="E115" s="4"/>
      <x:c r="F115" s="5">
        <x:f t="shared" ref="F115:F121" si="18">+D115+E115</x:f>
        <x:v>200000</x:v>
      </x:c>
      <x:c r="G115" s="6"/>
      <x:c r="H115" s="299"/>
      <x:c r="I115" s="3" t="s">
        <x:v>633</x:v>
      </x:c>
      <x:c r="J115" s="3" t="s">
        <x:v>962</x:v>
      </x:c>
      <x:c r="K115" s="4">
        <x:v>605500</x:v>
      </x:c>
      <x:c r="L115" s="4">
        <x:f>+K115*0.1</x:f>
        <x:v>60550</x:v>
      </x:c>
      <x:c r="M115" s="5">
        <x:f t="shared" si="16"/>
        <x:v>666050</x:v>
      </x:c>
      <x:c r="N115" s="6"/>
    </x:row>
    <x:row r="116" spans="1:14" ht="20.100000000000001" customHeight="1">
      <x:c r="A116" s="299"/>
      <x:c r="B116" s="3"/>
      <x:c r="C116" s="3"/>
      <x:c r="D116" s="4"/>
      <x:c r="E116" s="4"/>
      <x:c r="F116" s="5">
        <x:f t="shared" si="18"/>
        <x:v>0</x:v>
      </x:c>
      <x:c r="G116" s="6"/>
      <x:c r="H116" s="299"/>
      <x:c r="I116" s="3"/>
      <x:c r="J116" s="3"/>
      <x:c r="K116" s="4"/>
      <x:c r="L116" s="4">
        <x:f t="shared" si="17"/>
        <x:v>0</x:v>
      </x:c>
      <x:c r="M116" s="5">
        <x:f t="shared" si="16"/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/>
      <x:c r="F117" s="5">
        <x:f t="shared" si="18"/>
        <x:v>0</x:v>
      </x:c>
      <x:c r="G117" s="6"/>
      <x:c r="H117" s="299"/>
      <x:c r="I117" s="3"/>
      <x:c r="J117" s="3"/>
      <x:c r="K117" s="4"/>
      <x:c r="L117" s="4">
        <x:f t="shared" si="17"/>
        <x:v>0</x:v>
      </x:c>
      <x:c r="M117" s="5">
        <x:f t="shared" si="16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>
        <x:f t="shared" si="18"/>
        <x:v>0</x:v>
      </x:c>
      <x:c r="G118" s="6"/>
      <x:c r="H118" s="299"/>
      <x:c r="I118" s="3"/>
      <x:c r="J118" s="3"/>
      <x:c r="K118" s="4"/>
      <x:c r="L118" s="4">
        <x:f t="shared" si="17"/>
        <x:v>0</x:v>
      </x:c>
      <x:c r="M118" s="5">
        <x:f t="shared" si="16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8"/>
        <x:v>0</x:v>
      </x:c>
      <x:c r="G119" s="6"/>
      <x:c r="H119" s="299"/>
      <x:c r="I119" s="3"/>
      <x:c r="J119" s="3"/>
      <x:c r="K119" s="4"/>
      <x:c r="L119" s="4">
        <x:f t="shared" si="17"/>
        <x:v>0</x:v>
      </x:c>
      <x:c r="M119" s="5">
        <x:f t="shared" si="16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8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8"/>
        <x:v>0</x:v>
      </x:c>
      <x:c r="G121" s="6"/>
      <x:c r="H121" s="300"/>
      <x:c r="I121" s="3"/>
      <x:c r="J121" s="3"/>
      <x:c r="K121" s="4"/>
      <x:c r="L121" s="4">
        <x:f>+K121*0.1</x:f>
        <x:v>0</x:v>
      </x:c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808000</x:v>
      </x:c>
      <x:c r="E122" s="9">
        <x:f>SUM(E112:E121)</x:f>
        <x:v>56000</x:v>
      </x:c>
      <x:c r="F122" s="10">
        <x:f>SUM(F112:F121)</x:f>
        <x:v>864000</x:v>
      </x:c>
      <x:c r="G122" s="11"/>
      <x:c r="H122" s="7"/>
      <x:c r="I122" s="8"/>
      <x:c r="J122" s="8"/>
      <x:c r="K122" s="9">
        <x:f>SUM(K112:K121)</x:f>
        <x:v>1017820</x:v>
      </x:c>
      <x:c r="L122" s="9">
        <x:f>SUM(L112:L121)</x:f>
        <x:v>68550</x:v>
      </x:c>
      <x:c r="M122" s="10">
        <x:f>SUM(M112:M121)</x:f>
        <x:v>1086370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3207540</x:v>
      </x:c>
      <x:c r="E123" s="14">
        <x:f>+E101+E106+E111+E122</x:f>
        <x:v>229954</x:v>
      </x:c>
      <x:c r="F123" s="15">
        <x:f>+F101+F106+F111+F122</x:f>
        <x:v>3437494</x:v>
      </x:c>
      <x:c r="G123" s="16"/>
      <x:c r="H123" s="12"/>
      <x:c r="I123" s="13"/>
      <x:c r="J123" s="13"/>
      <x:c r="K123" s="14">
        <x:f>+K101+K106+K111+K122</x:f>
        <x:v>18668128</x:v>
      </x:c>
      <x:c r="L123" s="14">
        <x:f>+L101+L106+L111+L122</x:f>
        <x:v>486079.79999999999</x:v>
      </x:c>
      <x:c r="M123" s="15">
        <x:f>+M101+M106+M111+M122</x:f>
        <x:v>19154207.800000001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31424289</x:v>
      </x:c>
      <x:c r="E124" s="25">
        <x:f>+E85-E123</x:f>
        <x:v>138217</x:v>
      </x:c>
      <x:c r="F124" s="26">
        <x:f>+F85-F123</x:f>
        <x:v>31562506</x:v>
      </x:c>
      <x:c r="G124" s="27"/>
      <x:c r="H124" s="23"/>
      <x:c r="I124" s="24"/>
      <x:c r="J124" s="24"/>
      <x:c r="K124" s="25">
        <x:f>+K85-K123</x:f>
        <x:v>20984751</x:v>
      </x:c>
      <x:c r="L124" s="25">
        <x:f>+L85-L123</x:f>
        <x:v>-138958.79999999999</x:v>
      </x:c>
      <x:c r="M124" s="26">
        <x:f>+M85-M123</x:f>
        <x:v>20845792.199999999</x:v>
      </x:c>
      <x:c r="N124" s="27"/>
    </x:row>
    <x:row r="127" spans="1:13">
      <x:c r="A127" s="1" t="s">
        <x:v>148</x:v>
      </x:c>
      <x:c r="D127" s="2">
        <x:f>+D15+D59+D101</x:f>
        <x:v>28890550</x:v>
      </x:c>
      <x:c r="E127" s="2">
        <x:f>+E15+E59+E101</x:f>
        <x:v>2889055</x:v>
      </x:c>
      <x:c r="F127" s="2">
        <x:f>+F15+F59+F101</x:f>
        <x:v>31779605</x:v>
      </x:c>
      <x:c r="K127" s="2">
        <x:f>+K15+K59+K101</x:f>
        <x:v>61313831</x:v>
      </x:c>
      <x:c r="L127" s="2">
        <x:f>+L15+L59+L101</x:f>
        <x:v>6131381.2000000002</x:v>
      </x:c>
      <x:c r="M127" s="2">
        <x:f>+M15+M59+M101</x:f>
        <x:v>67445212.200000003</x:v>
      </x:c>
    </x:row>
    <x:row r="128" spans="1:13">
      <x:c r="A128" s="1" t="s">
        <x:v>153</x:v>
      </x:c>
      <x:c r="D128" s="2">
        <x:f>+D22+D64+D106</x:f>
        <x:v>70410390</x:v>
      </x:c>
      <x:c r="E128" s="2">
        <x:f>+E22+E64+E106</x:f>
        <x:v>1809679</x:v>
      </x:c>
      <x:c r="F128" s="2">
        <x:f>+F22+F64+F106</x:f>
        <x:v>72220069</x:v>
      </x:c>
      <x:c r="K128" s="2">
        <x:f>+K22+K64+K106</x:f>
        <x:v>114570900</x:v>
      </x:c>
      <x:c r="L128" s="2">
        <x:f>+L22+L64+L106</x:f>
        <x:v>4372860</x:v>
      </x:c>
      <x:c r="M128" s="2">
        <x:f>+M22+M64+M106</x:f>
        <x:v>118943760</x:v>
      </x:c>
    </x:row>
    <x:row r="129" spans="1:13">
      <x:c r="A129" s="1" t="s">
        <x:v>187</x:v>
      </x:c>
      <x:c r="D129" s="2">
        <x:f>+D27+D69+D111</x:f>
        <x:v>0</x:v>
      </x:c>
      <x:c r="E129" s="2">
        <x:f>+E27+E69+E111</x:f>
        <x:v>0</x:v>
      </x:c>
      <x:c r="F129" s="2">
        <x:f>+F27+F69+F111</x:f>
        <x:v>0</x:v>
      </x:c>
      <x:c r="K129" s="2">
        <x:f>+K27+K69+K111</x:f>
        <x:v>560000</x:v>
      </x:c>
      <x:c r="L129" s="2">
        <x:f>+L27+L69+L111</x:f>
        <x:v>56000</x:v>
      </x:c>
      <x:c r="M129" s="2">
        <x:f>+M27+M69+M111</x:f>
        <x:v>616000</x:v>
      </x:c>
    </x:row>
    <x:row r="130" spans="1:13">
      <x:c r="A130" s="1" t="s">
        <x:v>149</x:v>
      </x:c>
      <x:c r="D130" s="2">
        <x:f>+D38+D80+D122</x:f>
        <x:v>6922230</x:v>
      </x:c>
      <x:c r="E130" s="2">
        <x:f>+E38+E80+E122</x:f>
        <x:v>157400</x:v>
      </x:c>
      <x:c r="F130" s="2">
        <x:f>+F38+F80+F122</x:f>
        <x:v>7079630</x:v>
      </x:c>
      <x:c r="K130" s="2">
        <x:f>+K38+K80+K122</x:f>
        <x:v>8821556</x:v>
      </x:c>
      <x:c r="L130" s="2">
        <x:f>+L38+L80+L122</x:f>
        <x:v>499504</x:v>
      </x:c>
      <x:c r="M130" s="2">
        <x:f>+M38+M80+M122</x:f>
        <x:v>9321060</x:v>
      </x:c>
    </x:row>
    <x:row r="131" spans="1:13">
      <x:c r="A131" s="1" t="s">
        <x:v>202</x:v>
      </x:c>
      <x:c r="D131" s="2">
        <x:f>SUM(D127:D130)</x:f>
        <x:v>106223170</x:v>
      </x:c>
      <x:c r="E131" s="2">
        <x:f>SUM(E127:E130)</x:f>
        <x:v>4856134</x:v>
      </x:c>
      <x:c r="F131" s="2">
        <x:f>SUM(F127:F130)</x:f>
        <x:v>111079304</x:v>
      </x:c>
      <x:c r="K131" s="2">
        <x:f>SUM(K127:K130)</x:f>
        <x:v>185266287</x:v>
      </x:c>
      <x:c r="L131" s="2">
        <x:f>SUM(L127:L130)</x:f>
        <x:v>11059745.199999999</x:v>
      </x:c>
      <x:c r="M131" s="2">
        <x:f>SUM(M127:M130)</x:f>
        <x:v>196326032.19999999</x:v>
      </x:c>
    </x:row>
    <x:row r="134" spans="1:6">
      <x:c r="A134" s="1" t="s">
        <x:v>148</x:v>
      </x:c>
      <x:c r="D134" s="2">
        <x:f>+D127+K127</x:f>
        <x:v>90204381</x:v>
      </x:c>
      <x:c r="E134" s="2">
        <x:f>+E127+L127</x:f>
        <x:v>9020436.1999999993</x:v>
      </x:c>
      <x:c r="F134" s="2">
        <x:f>+F127+M127</x:f>
        <x:v>99224817.200000003</x:v>
      </x:c>
    </x:row>
    <x:row r="135" spans="1:6">
      <x:c r="A135" s="1" t="s">
        <x:v>153</x:v>
      </x:c>
      <x:c r="D135" s="2">
        <x:f t="shared" ref="D135:F137" si="19">+D128+K128</x:f>
        <x:v>184981290</x:v>
      </x:c>
      <x:c r="E135" s="2">
        <x:f t="shared" si="19"/>
        <x:v>6182539</x:v>
      </x:c>
      <x:c r="F135" s="2">
        <x:f t="shared" si="19"/>
        <x:v>191163829</x:v>
      </x:c>
    </x:row>
    <x:row r="136" spans="1:6">
      <x:c r="A136" s="1" t="s">
        <x:v>187</x:v>
      </x:c>
      <x:c r="D136" s="2">
        <x:f t="shared" si="19"/>
        <x:v>560000</x:v>
      </x:c>
      <x:c r="E136" s="2">
        <x:f t="shared" si="19"/>
        <x:v>56000</x:v>
      </x:c>
      <x:c r="F136" s="2">
        <x:f t="shared" si="19"/>
        <x:v>616000</x:v>
      </x:c>
    </x:row>
    <x:row r="137" spans="1:6">
      <x:c r="A137" s="1" t="s">
        <x:v>149</x:v>
      </x:c>
      <x:c r="D137" s="2">
        <x:f t="shared" si="19"/>
        <x:v>15743786</x:v>
      </x:c>
      <x:c r="E137" s="2">
        <x:f t="shared" si="19"/>
        <x:v>656904</x:v>
      </x:c>
      <x:c r="F137" s="2">
        <x:f t="shared" si="19"/>
        <x:v>16400690</x:v>
      </x:c>
    </x:row>
    <x:row r="138" spans="1:6">
      <x:c r="A138" s="1" t="s">
        <x:v>1019</x:v>
      </x:c>
      <x:c r="D138" s="2">
        <x:f>SUM(D134:D137)</x:f>
        <x:v>291489457</x:v>
      </x:c>
      <x:c r="E138" s="2">
        <x:f>SUM(E134:E137)</x:f>
        <x:v>15915879.199999999</x:v>
      </x:c>
      <x:c r="F138" s="2">
        <x:f>SUM(F134:F137)</x:f>
        <x:v>307405336.19999999</x:v>
      </x:c>
    </x:row>
    <x:row r="139" spans="1:6">
      <x:c r="A139" s="1" t="s">
        <x:v>151</x:v>
      </x:c>
      <x:c r="D139" s="2">
        <x:f>D4+D43+D85+K4+K43+K85</x:f>
        <x:v>457244708</x:v>
      </x:c>
      <x:c r="E139" s="2">
        <x:f>E4+E43+E85+L4+L43+L85</x:f>
        <x:v>7875292</x:v>
      </x:c>
      <x:c r="F139" s="2">
        <x:f>F4+F43+F85+M4+M43+M85</x:f>
        <x:v>465120000</x:v>
      </x:c>
    </x:row>
    <x:row r="140" spans="1:6">
      <x:c r="A140" s="1" t="s">
        <x:v>632</x:v>
      </x:c>
      <x:c r="D140" s="2">
        <x:f>+D139-D138</x:f>
        <x:v>165755251</x:v>
      </x:c>
      <x:c r="E140" s="2">
        <x:f>+E139-E138</x:f>
        <x:v>-8040587.1999999993</x:v>
      </x:c>
      <x:c r="F140" s="2">
        <x:f>+F139-F138</x:f>
        <x:v>157714663.80000001</x:v>
      </x:c>
    </x:row>
  </x:sheetData>
  <x:mergeCells count="31">
    <x:mergeCell ref="A16:A21"/>
    <x:mergeCell ref="H16:H21"/>
    <x:mergeCell ref="A1:N1"/>
    <x:mergeCell ref="A2:G2"/>
    <x:mergeCell ref="H2:N2"/>
    <x:mergeCell ref="A5:A14"/>
    <x:mergeCell ref="H5:H14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R11"/>
  <x:sheetViews>
    <x:sheetView view="pageBreakPreview" topLeftCell="A1" zoomScaleNormal="100" zoomScaleSheetLayoutView="100" workbookViewId="0">
      <x:selection activeCell="D5" activeCellId="0" sqref="D5:D5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1726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77"/>
      <x:c r="C2" s="77"/>
      <x:c r="D2" s="77"/>
      <x:c r="E2" s="77"/>
      <x:c r="F2" s="77"/>
      <x:c r="G2" s="77"/>
      <x:c r="H2" s="77"/>
      <x:c r="I2" s="77"/>
      <x:c r="J2" s="77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79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0" t="s">
        <x:v>638</x:v>
      </x:c>
      <x:c r="C5" s="61" t="s">
        <x:v>635</x:v>
      </x:c>
      <x:c r="D5" s="74">
        <x:f>'19년09월(세부내역)'!D4</x:f>
        <x:v>158034516</x:v>
      </x:c>
      <x:c r="E5" s="67">
        <x:f>'19년09월(세부내역)'!D15</x:f>
        <x:v>2444600</x:v>
      </x:c>
      <x:c r="F5" s="67">
        <x:f>'19년09월(세부내역)'!D22</x:f>
        <x:v>27133590</x:v>
      </x:c>
      <x:c r="G5" s="67">
        <x:f>'19년09월(세부내역)'!D27</x:f>
        <x:v>0</x:v>
      </x:c>
      <x:c r="H5" s="67">
        <x:f>'19년09월(세부내역)'!D38</x:f>
        <x:v>2523890</x:v>
      </x:c>
      <x:c r="I5" s="75">
        <x:f t="shared" ref="I5:I10" si="0">+SUM(E5:H5)</x:f>
        <x:v>32102080</x:v>
      </x:c>
      <x:c r="J5" s="9">
        <x:f t="shared" ref="J5:J10" si="1">D5-I5</x:f>
        <x:v>125932436</x:v>
      </x:c>
      <x:c r="K5" s="62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634</x:v>
      </x:c>
      <x:c r="C6" s="58" t="s">
        <x:v>901</x:v>
      </x:c>
      <x:c r="D6" s="74">
        <x:f>'19년09월(세부내역)'!K4</x:f>
        <x:v>154800000</x:v>
      </x:c>
      <x:c r="E6" s="59">
        <x:f>+'19년09월(세부내역)'!K15</x:f>
        <x:v>41926680</x:v>
      </x:c>
      <x:c r="F6" s="59">
        <x:f>'19년09월(세부내역)'!K22</x:f>
        <x:v>57432000</x:v>
      </x:c>
      <x:c r="G6" s="59">
        <x:f>'19년09월(세부내역)'!K27</x:f>
        <x:v>120000</x:v>
      </x:c>
      <x:c r="H6" s="59">
        <x:f>'19년09월(세부내역)'!K38</x:f>
        <x:v>5322596</x:v>
      </x:c>
      <x:c r="I6" s="75">
        <x:f t="shared" si="0"/>
        <x:v>104801276</x:v>
      </x:c>
      <x:c r="J6" s="9">
        <x:f t="shared" si="1"/>
        <x:v>49998724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'19년09월(세부내역)'!D43</x:f>
        <x:v>10000000</x:v>
      </x:c>
      <x:c r="E7" s="59">
        <x:f>+'19년09월(세부내역)'!D59</x:f>
        <x:v>616350</x:v>
      </x:c>
      <x:c r="F7" s="59">
        <x:f>'19년09월(세부내역)'!D64</x:f>
        <x:v>560000</x:v>
      </x:c>
      <x:c r="G7" s="59">
        <x:f>'19년09월(세부내역)'!D69</x:f>
        <x:v>0</x:v>
      </x:c>
      <x:c r="H7" s="59">
        <x:f>'19년09월(세부내역)'!D80</x:f>
        <x:v>602810</x:v>
      </x:c>
      <x:c r="I7" s="75">
        <x:f t="shared" si="0"/>
        <x:v>1779160</x:v>
      </x:c>
      <x:c r="J7" s="80">
        <x:f t="shared" si="1"/>
        <x:v>8220840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'19년09월(세부내역)'!K43</x:f>
        <x:v>68327000</x:v>
      </x:c>
      <x:c r="E8" s="59">
        <x:f>'19년09월(세부내역)'!K59</x:f>
        <x:v>13429580</x:v>
      </x:c>
      <x:c r="F8" s="59">
        <x:f>'19년09월(세부내역)'!K64</x:f>
        <x:v>36765000</x:v>
      </x:c>
      <x:c r="G8" s="59">
        <x:f>'19년09월(세부내역)'!K69</x:f>
        <x:v>0</x:v>
      </x:c>
      <x:c r="H8" s="59">
        <x:f>'19년09월(세부내역)'!K80</x:f>
        <x:v>2679760</x:v>
      </x:c>
      <x:c r="I8" s="75">
        <x:f t="shared" si="0"/>
        <x:v>52874340</x:v>
      </x:c>
      <x:c r="J8" s="9">
        <x:f t="shared" si="1"/>
        <x:v>15452660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'19년09월(세부내역)'!D85</x:f>
        <x:v>0</x:v>
      </x:c>
      <x:c r="E9" s="59">
        <x:f>'19년09월(세부내역)'!D101</x:f>
        <x:v>7158316</x:v>
      </x:c>
      <x:c r="F9" s="59">
        <x:f>'19년09월(세부내역)'!D106</x:f>
        <x:v>8310000</x:v>
      </x:c>
      <x:c r="G9" s="59">
        <x:f>'19년09월(세부내역)'!D111</x:f>
        <x:v>0</x:v>
      </x:c>
      <x:c r="H9" s="59">
        <x:f>'19년09월(세부내역)'!D122</x:f>
        <x:v>2831200</x:v>
      </x:c>
      <x:c r="I9" s="75">
        <x:f t="shared" si="0"/>
        <x:v>18299516</x:v>
      </x:c>
      <x:c r="J9" s="9">
        <x:f t="shared" si="1"/>
        <x:v>-18299516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'19년09월(세부내역)'!K85</x:f>
        <x:v>14869830</x:v>
      </x:c>
      <x:c r="E10" s="59">
        <x:f>'19년09월(세부내역)'!K101</x:f>
        <x:v>102000</x:v>
      </x:c>
      <x:c r="F10" s="59">
        <x:f>'19년09월(세부내역)'!K106</x:f>
        <x:v>11175000</x:v>
      </x:c>
      <x:c r="G10" s="59">
        <x:f>'19년09월(세부내역)'!K111</x:f>
        <x:v>0</x:v>
      </x:c>
      <x:c r="H10" s="59">
        <x:f>'19년09월(세부내역)'!K122</x:f>
        <x:v>3022050</x:v>
      </x:c>
      <x:c r="I10" s="75">
        <x:f t="shared" si="0"/>
        <x:v>14299050</x:v>
      </x:c>
      <x:c r="J10" s="9">
        <x:f t="shared" si="1"/>
        <x:v>570780</x:v>
      </x:c>
      <x:c r="K10" s="59"/>
    </x:row>
    <x:row r="11" spans="1:11" ht="30" customHeight="1">
      <x:c r="A11" s="64"/>
      <x:c r="B11" s="64" t="s">
        <x:v>1690</x:v>
      </x:c>
      <x:c r="C11" s="65"/>
      <x:c r="D11" s="68">
        <x:f>SUM(D5:D10)</x:f>
        <x:v>406031346</x:v>
      </x:c>
      <x:c r="E11" s="66">
        <x:f t="shared" ref="E11:J11" si="2">SUM(E5:E10)</x:f>
        <x:v>65677526</x:v>
      </x:c>
      <x:c r="F11" s="66">
        <x:f t="shared" si="2"/>
        <x:v>141375590</x:v>
      </x:c>
      <x:c r="G11" s="66">
        <x:f t="shared" si="2"/>
        <x:v>120000</x:v>
      </x:c>
      <x:c r="H11" s="66">
        <x:f t="shared" si="2"/>
        <x:v>16982306</x:v>
      </x:c>
      <x:c r="I11" s="69">
        <x:f t="shared" si="2"/>
        <x:v>224155422</x:v>
      </x:c>
      <x:c r="J11" s="66">
        <x:f t="shared" si="2"/>
        <x:v>181875924</x:v>
      </x:c>
      <x:c r="K11" s="66"/>
    </x:row>
  </x:sheetData>
  <x:mergeCells count="13">
    <x:mergeCell ref="A1:K1"/>
    <x:mergeCell ref="O3:O4"/>
    <x:mergeCell ref="P3:P4"/>
    <x:mergeCell ref="Q3:Q4"/>
    <x:mergeCell ref="R3:R4"/>
    <x:mergeCell ref="N2:N5"/>
    <x:mergeCell ref="J3:J4"/>
    <x:mergeCell ref="K3:K4"/>
    <x:mergeCell ref="A3:A4"/>
    <x:mergeCell ref="B3:B4"/>
    <x:mergeCell ref="C3:C4"/>
    <x:mergeCell ref="D3:D4"/>
    <x:mergeCell ref="E3:I3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N140"/>
  <x:sheetViews>
    <x:sheetView view="pageBreakPreview" topLeftCell="A1" zoomScaleNormal="100" zoomScaleSheetLayoutView="100" workbookViewId="0">
      <x:selection activeCell="D5" activeCellId="0" sqref="D5:D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79" t="s">
        <x:v>144</x:v>
      </x:c>
      <x:c r="C3" s="79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79" t="s">
        <x:v>144</x:v>
      </x:c>
      <x:c r="J3" s="79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78" t="s">
        <x:v>151</x:v>
      </x:c>
      <x:c r="B4" s="38" t="s">
        <x:v>1679</x:v>
      </x:c>
      <x:c r="C4" s="38" t="s">
        <x:v>1678</x:v>
      </x:c>
      <x:c r="D4" s="39">
        <x:f>62717607+95316909</x:f>
        <x:v>158034516</x:v>
      </x:c>
      <x:c r="E4" s="39">
        <x:f>2833393+4947091</x:f>
        <x:v>7780484</x:v>
      </x:c>
      <x:c r="F4" s="40">
        <x:f>+D4+E4</x:f>
        <x:v>165815000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154800000</x:v>
      </x:c>
      <x:c r="L4" s="39"/>
      <x:c r="M4" s="40">
        <x:f>+K4+L4</x:f>
        <x:v>154800000</x:v>
      </x:c>
      <x:c r="N4" s="42"/>
    </x:row>
    <x:row r="5" spans="1:14" ht="20.100000000000001" customHeight="1">
      <x:c r="A5" s="298" t="s">
        <x:v>148</x:v>
      </x:c>
      <x:c r="B5" s="54" t="s">
        <x:v>854</x:v>
      </x:c>
      <x:c r="C5" s="54" t="s">
        <x:v>336</x:v>
      </x:c>
      <x:c r="D5" s="20">
        <x:v>331100</x:v>
      </x:c>
      <x:c r="E5" s="20">
        <x:f>+D5*0.1</x:f>
        <x:v>33110</x:v>
      </x:c>
      <x:c r="F5" s="21">
        <x:f>+D5+E5</x:f>
        <x:v>364210</x:v>
      </x:c>
      <x:c r="G5" s="22"/>
      <x:c r="H5" s="298" t="s">
        <x:v>148</x:v>
      </x:c>
      <x:c r="I5" s="19" t="s">
        <x:v>838</x:v>
      </x:c>
      <x:c r="J5" s="19" t="s">
        <x:v>643</x:v>
      </x:c>
      <x:c r="K5" s="20">
        <x:v>3089480</x:v>
      </x:c>
      <x:c r="L5" s="20">
        <x:f t="shared" ref="L5:L10" si="0">K5*0.1</x:f>
        <x:v>308948</x:v>
      </x:c>
      <x:c r="M5" s="21">
        <x:f t="shared" ref="M5:M21" si="1">+K5+L5</x:f>
        <x:v>3398428</x:v>
      </x:c>
      <x:c r="N5" s="22"/>
    </x:row>
    <x:row r="6" spans="1:14" ht="20.100000000000001" customHeight="1">
      <x:c r="A6" s="299"/>
      <x:c r="B6" s="3" t="s">
        <x:v>967</x:v>
      </x:c>
      <x:c r="C6" s="3" t="s">
        <x:v>969</x:v>
      </x:c>
      <x:c r="D6" s="4">
        <x:v>346000</x:v>
      </x:c>
      <x:c r="E6" s="4">
        <x:f>+D6*0.1</x:f>
        <x:v>34600</x:v>
      </x:c>
      <x:c r="F6" s="5">
        <x:f>+D6+E6</x:f>
        <x:v>380600</x:v>
      </x:c>
      <x:c r="G6" s="6"/>
      <x:c r="H6" s="299"/>
      <x:c r="I6" s="3" t="s">
        <x:v>867</x:v>
      </x:c>
      <x:c r="J6" s="3" t="s">
        <x:v>356</x:v>
      </x:c>
      <x:c r="K6" s="4">
        <x:v>24959600</x:v>
      </x:c>
      <x:c r="L6" s="4">
        <x:f t="shared" si="0"/>
        <x:v>2495960</x:v>
      </x:c>
      <x:c r="M6" s="5">
        <x:f t="shared" si="1"/>
        <x:v>27455560</x:v>
      </x:c>
      <x:c r="N6" s="6"/>
    </x:row>
    <x:row r="7" spans="1:14" ht="20.100000000000001" customHeight="1">
      <x:c r="A7" s="299"/>
      <x:c r="B7" s="3" t="s">
        <x:v>840</x:v>
      </x:c>
      <x:c r="C7" s="3" t="s">
        <x:v>640</x:v>
      </x:c>
      <x:c r="D7" s="4">
        <x:v>1569400</x:v>
      </x:c>
      <x:c r="E7" s="4">
        <x:f>+D7*0.1</x:f>
        <x:v>156940</x:v>
      </x:c>
      <x:c r="F7" s="5">
        <x:f>+D7+E7</x:f>
        <x:v>1726340</x:v>
      </x:c>
      <x:c r="G7" s="6"/>
      <x:c r="H7" s="299"/>
      <x:c r="I7" s="3" t="s">
        <x:v>34</x:v>
      </x:c>
      <x:c r="J7" s="3" t="s">
        <x:v>645</x:v>
      </x:c>
      <x:c r="K7" s="4">
        <x:v>4084200</x:v>
      </x:c>
      <x:c r="L7" s="4">
        <x:f t="shared" si="0"/>
        <x:v>408420</x:v>
      </x:c>
      <x:c r="M7" s="5">
        <x:f t="shared" si="1"/>
        <x:v>4492620</x:v>
      </x:c>
      <x:c r="N7" s="6"/>
    </x:row>
    <x:row r="8" spans="1:14" ht="20.100000000000001" customHeight="1">
      <x:c r="A8" s="299"/>
      <x:c r="B8" s="3" t="s">
        <x:v>846</x:v>
      </x:c>
      <x:c r="C8" s="3" t="s">
        <x:v>642</x:v>
      </x:c>
      <x:c r="D8" s="4">
        <x:v>198100</x:v>
      </x:c>
      <x:c r="E8" s="4">
        <x:f>+D8*0.1</x:f>
        <x:v>19810</x:v>
      </x:c>
      <x:c r="F8" s="5">
        <x:f t="shared" ref="F8:F14" si="2">+D8+E8</x:f>
        <x:v>217910</x:v>
      </x:c>
      <x:c r="G8" s="6"/>
      <x:c r="H8" s="299"/>
      <x:c r="I8" s="3" t="s">
        <x:v>840</x:v>
      </x:c>
      <x:c r="J8" s="3" t="s">
        <x:v>648</x:v>
      </x:c>
      <x:c r="K8" s="4">
        <x:v>1717000</x:v>
      </x:c>
      <x:c r="L8" s="4">
        <x:f t="shared" si="0"/>
        <x:v>171700</x:v>
      </x:c>
      <x:c r="M8" s="5">
        <x:f t="shared" si="1"/>
        <x:v>1888700</x:v>
      </x:c>
      <x:c r="N8" s="6"/>
    </x:row>
    <x:row r="9" spans="1:14" ht="20.100000000000001" customHeight="1">
      <x:c r="A9" s="299"/>
      <x:c r="B9" s="3"/>
      <x:c r="C9" s="3"/>
      <x:c r="D9" s="4"/>
      <x:c r="E9" s="4"/>
      <x:c r="F9" s="5">
        <x:f t="shared" si="2"/>
        <x:v>0</x:v>
      </x:c>
      <x:c r="G9" s="6"/>
      <x:c r="H9" s="299"/>
      <x:c r="I9" s="3" t="s">
        <x:v>907</x:v>
      </x:c>
      <x:c r="J9" s="3" t="s">
        <x:v>894</x:v>
      </x:c>
      <x:c r="K9" s="4">
        <x:v>600000</x:v>
      </x:c>
      <x:c r="L9" s="4">
        <x:f t="shared" si="0"/>
        <x:v>60000</x:v>
      </x:c>
      <x:c r="M9" s="5">
        <x:f t="shared" si="1"/>
        <x:v>660000</x:v>
      </x:c>
      <x:c r="N9" s="6"/>
    </x:row>
    <x:row r="10" spans="1:14" ht="20.100000000000001" customHeight="1">
      <x:c r="A10" s="299"/>
      <x:c r="B10" s="3"/>
      <x:c r="C10" s="3"/>
      <x:c r="D10" s="4"/>
      <x:c r="E10" s="4"/>
      <x:c r="F10" s="5">
        <x:f t="shared" si="2"/>
        <x:v>0</x:v>
      </x:c>
      <x:c r="G10" s="6"/>
      <x:c r="H10" s="299"/>
      <x:c r="I10" s="3" t="s">
        <x:v>1705</x:v>
      </x:c>
      <x:c r="J10" s="3" t="s">
        <x:v>631</x:v>
      </x:c>
      <x:c r="K10" s="4">
        <x:v>1092000</x:v>
      </x:c>
      <x:c r="L10" s="4">
        <x:f t="shared" si="0"/>
        <x:v>109200</x:v>
      </x:c>
      <x:c r="M10" s="5">
        <x:f t="shared" si="1"/>
        <x:v>1201200</x:v>
      </x:c>
      <x:c r="N10" s="6"/>
    </x:row>
    <x:row r="11" spans="1:14" ht="20.100000000000001" customHeight="1">
      <x:c r="A11" s="299"/>
      <x:c r="B11" s="3"/>
      <x:c r="C11" s="3"/>
      <x:c r="D11" s="4"/>
      <x:c r="E11" s="4"/>
      <x:c r="F11" s="5">
        <x:f t="shared" si="2"/>
        <x:v>0</x:v>
      </x:c>
      <x:c r="G11" s="6"/>
      <x:c r="H11" s="299"/>
      <x:c r="I11" s="3" t="s">
        <x:v>864</x:v>
      </x:c>
      <x:c r="J11" s="3" t="s">
        <x:v>1718</x:v>
      </x:c>
      <x:c r="K11" s="4">
        <x:v>4617500</x:v>
      </x:c>
      <x:c r="L11" s="4">
        <x:f>+INT(K11*0.1)</x:f>
        <x:v>461750</x:v>
      </x:c>
      <x:c r="M11" s="5">
        <x:f t="shared" si="1"/>
        <x:v>5079250</x:v>
      </x:c>
      <x:c r="N11" s="6"/>
    </x:row>
    <x:row r="12" spans="1:14" ht="20.100000000000001" customHeight="1">
      <x:c r="A12" s="299"/>
      <x:c r="B12" s="3"/>
      <x:c r="C12" s="3"/>
      <x:c r="D12" s="44"/>
      <x:c r="E12" s="44"/>
      <x:c r="F12" s="45">
        <x:f t="shared" si="2"/>
        <x:v>0</x:v>
      </x:c>
      <x:c r="G12" s="6"/>
      <x:c r="H12" s="299"/>
      <x:c r="I12" s="3" t="s">
        <x:v>846</x:v>
      </x:c>
      <x:c r="J12" s="3" t="s">
        <x:v>627</x:v>
      </x:c>
      <x:c r="K12" s="4">
        <x:v>1766900</x:v>
      </x:c>
      <x:c r="L12" s="4">
        <x:f>+K12*0.1</x:f>
        <x:v>176690</x:v>
      </x:c>
      <x:c r="M12" s="5">
        <x:f t="shared" si="1"/>
        <x:v>1943590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5">
        <x:f t="shared" si="2"/>
        <x:v>0</x:v>
      </x:c>
      <x:c r="G13" s="6"/>
      <x:c r="H13" s="299"/>
      <x:c r="I13" s="3"/>
      <x:c r="J13" s="3"/>
      <x:c r="K13" s="4"/>
      <x:c r="L13" s="4">
        <x:f>+K13*0.1</x:f>
        <x:v>0</x:v>
      </x:c>
      <x:c r="M13" s="5">
        <x:f t="shared" si="1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2"/>
        <x:v>0</x:v>
      </x:c>
      <x:c r="G14" s="6"/>
      <x:c r="H14" s="300"/>
      <x:c r="I14" s="3"/>
      <x:c r="J14" s="3"/>
      <x:c r="K14" s="4"/>
      <x:c r="L14" s="4"/>
      <x:c r="M14" s="5">
        <x:f t="shared" si="1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2444600</x:v>
      </x:c>
      <x:c r="E15" s="9">
        <x:f>SUM(E5:E14)</x:f>
        <x:v>244460</x:v>
      </x:c>
      <x:c r="F15" s="10">
        <x:f>SUM(F5:F14)</x:f>
        <x:v>2689060</x:v>
      </x:c>
      <x:c r="G15" s="11"/>
      <x:c r="H15" s="7"/>
      <x:c r="I15" s="8"/>
      <x:c r="J15" s="8"/>
      <x:c r="K15" s="9">
        <x:f>SUM(K5:K14)</x:f>
        <x:v>41926680</x:v>
      </x:c>
      <x:c r="L15" s="9">
        <x:f>SUM(L5:L14)</x:f>
        <x:v>4192668</x:v>
      </x:c>
      <x:c r="M15" s="10">
        <x:f>SUM(M5:M14)</x:f>
        <x:v>46119348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18790000</x:v>
      </x:c>
      <x:c r="E16" s="44"/>
      <x:c r="F16" s="45">
        <x:f t="shared" ref="F16:F21" si="3">+D16+E16</x:f>
        <x:v>18790000</x:v>
      </x:c>
      <x:c r="G16" s="37"/>
      <x:c r="H16" s="301" t="s">
        <x:v>153</x:v>
      </x:c>
      <x:c r="I16" s="3" t="s">
        <x:v>1677</x:v>
      </x:c>
      <x:c r="J16" s="3"/>
      <x:c r="K16" s="4">
        <x:v>24680000</x:v>
      </x:c>
      <x:c r="L16" s="4"/>
      <x:c r="M16" s="5">
        <x:f t="shared" si="1"/>
        <x:v>24680000</x:v>
      </x:c>
      <x:c r="N16" s="6"/>
    </x:row>
    <x:row r="17" spans="1:14" ht="20.100000000000001" customHeight="1">
      <x:c r="A17" s="299"/>
      <x:c r="B17" s="3" t="s">
        <x:v>200</x:v>
      </x:c>
      <x:c r="C17" s="3" t="s">
        <x:v>6</x:v>
      </x:c>
      <x:c r="D17" s="4">
        <x:v>4000000</x:v>
      </x:c>
      <x:c r="E17" s="4">
        <x:f>+D17*0.1</x:f>
        <x:v>400000</x:v>
      </x:c>
      <x:c r="F17" s="5">
        <x:f t="shared" si="3"/>
        <x:v>4400000</x:v>
      </x:c>
      <x:c r="G17" s="37"/>
      <x:c r="H17" s="299"/>
      <x:c r="I17" s="3" t="s">
        <x:v>999</x:v>
      </x:c>
      <x:c r="J17" s="3" t="s">
        <x:v>1002</x:v>
      </x:c>
      <x:c r="K17" s="4">
        <x:v>23024000</x:v>
      </x:c>
      <x:c r="L17" s="4">
        <x:f>+K17*0.1</x:f>
        <x:v>2302400</x:v>
      </x:c>
      <x:c r="M17" s="5">
        <x:f t="shared" si="1"/>
        <x:v>25326400</x:v>
      </x:c>
      <x:c r="N17" s="6"/>
    </x:row>
    <x:row r="18" spans="1:14" ht="20.100000000000001" customHeight="1">
      <x:c r="A18" s="299"/>
      <x:c r="B18" s="3" t="s">
        <x:v>1050</x:v>
      </x:c>
      <x:c r="C18" s="3" t="s">
        <x:v>193</x:v>
      </x:c>
      <x:c r="D18" s="4">
        <x:v>3343590</x:v>
      </x:c>
      <x:c r="E18" s="4">
        <x:v>-92790</x:v>
      </x:c>
      <x:c r="F18" s="5">
        <x:f t="shared" si="3"/>
        <x:v>3250800</x:v>
      </x:c>
      <x:c r="G18" s="37"/>
      <x:c r="H18" s="299"/>
      <x:c r="I18" s="3" t="s">
        <x:v>1026</x:v>
      </x:c>
      <x:c r="J18" s="3" t="s">
        <x:v>1029</x:v>
      </x:c>
      <x:c r="K18" s="4">
        <x:v>9728000</x:v>
      </x:c>
      <x:c r="L18" s="4">
        <x:f>+K18*0.1</x:f>
        <x:v>972800</x:v>
      </x:c>
      <x:c r="M18" s="5">
        <x:f t="shared" si="1"/>
        <x:v>10700800</x:v>
      </x:c>
      <x:c r="N18" s="6"/>
    </x:row>
    <x:row r="19" spans="1:14" ht="20.100000000000001" customHeight="1">
      <x:c r="A19" s="299"/>
      <x:c r="B19" s="3" t="s">
        <x:v>987</x:v>
      </x:c>
      <x:c r="C19" s="3" t="s">
        <x:v>1060</x:v>
      </x:c>
      <x:c r="D19" s="4">
        <x:v>1000000</x:v>
      </x:c>
      <x:c r="E19" s="4">
        <x:f>+D19*0.1</x:f>
        <x:v>100000</x:v>
      </x:c>
      <x:c r="F19" s="5">
        <x:f t="shared" si="3"/>
        <x:v>1100000</x:v>
      </x:c>
      <x:c r="G19" s="6"/>
      <x:c r="H19" s="299"/>
      <x:c r="I19" s="3"/>
      <x:c r="J19" s="3"/>
      <x:c r="K19" s="4"/>
      <x:c r="L19" s="4"/>
      <x:c r="M19" s="5">
        <x:f t="shared" si="1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3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3"/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27133590</x:v>
      </x:c>
      <x:c r="E22" s="9">
        <x:f>SUM(E16:E21)</x:f>
        <x:v>407210</x:v>
      </x:c>
      <x:c r="F22" s="10">
        <x:f>SUM(F16:F21)</x:f>
        <x:v>27540800</x:v>
      </x:c>
      <x:c r="G22" s="11"/>
      <x:c r="H22" s="7"/>
      <x:c r="I22" s="8"/>
      <x:c r="J22" s="8"/>
      <x:c r="K22" s="9">
        <x:f>SUM(K16:K21)</x:f>
        <x:v>57432000</x:v>
      </x:c>
      <x:c r="L22" s="9">
        <x:f>SUM(L16:L21)</x:f>
        <x:v>3275200</x:v>
      </x:c>
      <x:c r="M22" s="10">
        <x:f>SUM(M16:M21)</x:f>
        <x:v>60707200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1010</x:v>
      </x:c>
      <x:c r="J23" s="3" t="s">
        <x:v>948</x:v>
      </x:c>
      <x:c r="K23" s="4">
        <x:v>120000</x:v>
      </x:c>
      <x:c r="L23" s="4">
        <x:f>+K23*0.1</x:f>
        <x:v>12000</x:v>
      </x:c>
      <x:c r="M23" s="5">
        <x:f>+K23+L23</x:f>
        <x:v>132000</x:v>
      </x:c>
      <x:c r="N23" s="6"/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857</x:v>
      </x:c>
      <x:c r="J24" s="3" t="s">
        <x:v>1006</x:v>
      </x:c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120000</x:v>
      </x:c>
      <x:c r="L27" s="9">
        <x:f>SUM(L23:L26)</x:f>
        <x:v>12000</x:v>
      </x:c>
      <x:c r="M27" s="10">
        <x:f>SUM(M23:M26)</x:f>
        <x:v>132000</x:v>
      </x:c>
      <x:c r="N27" s="11"/>
    </x:row>
    <x:row r="28" spans="1:14" ht="20.100000000000001" customHeight="1">
      <x:c r="A28" s="301" t="s">
        <x:v>149</x:v>
      </x:c>
      <x:c r="B28" s="3" t="s">
        <x:v>1048</x:v>
      </x:c>
      <x:c r="C28" s="3" t="s">
        <x:v>164</x:v>
      </x:c>
      <x:c r="D28" s="4">
        <x:v>588000</x:v>
      </x:c>
      <x:c r="E28" s="4"/>
      <x:c r="F28" s="5">
        <x:f>+D28+E28</x:f>
        <x:v>588000</x:v>
      </x:c>
      <x:c r="G28" s="6"/>
      <x:c r="H28" s="301" t="s">
        <x:v>149</x:v>
      </x:c>
      <x:c r="I28" s="3" t="s">
        <x:v>952</x:v>
      </x:c>
      <x:c r="J28" s="3" t="s">
        <x:v>28</x:v>
      </x:c>
      <x:c r="K28" s="4">
        <x:v>645000</x:v>
      </x:c>
      <x:c r="L28" s="4">
        <x:f>+K28*0.1</x:f>
        <x:v>64500</x:v>
      </x:c>
      <x:c r="M28" s="5">
        <x:f t="shared" ref="M28:M37" si="4">+K28+L28</x:f>
        <x:v>709500</x:v>
      </x:c>
      <x:c r="N28" s="6"/>
    </x:row>
    <x:row r="29" spans="1:14" ht="20.100000000000001" customHeight="1">
      <x:c r="A29" s="299"/>
      <x:c r="B29" s="3" t="s">
        <x:v>174</x:v>
      </x:c>
      <x:c r="C29" s="3" t="s">
        <x:v>941</x:v>
      </x:c>
      <x:c r="D29" s="4">
        <x:v>500000</x:v>
      </x:c>
      <x:c r="E29" s="4"/>
      <x:c r="F29" s="5">
        <x:f>+D29+E29</x:f>
        <x:v>500000</x:v>
      </x:c>
      <x:c r="G29" s="6"/>
      <x:c r="H29" s="299"/>
      <x:c r="I29" s="3" t="s">
        <x:v>959</x:v>
      </x:c>
      <x:c r="J29" s="3" t="s">
        <x:v>825</x:v>
      </x:c>
      <x:c r="K29" s="4">
        <x:v>1120000</x:v>
      </x:c>
      <x:c r="L29" s="4">
        <x:f>+K29*0.1</x:f>
        <x:v>112000</x:v>
      </x:c>
      <x:c r="M29" s="5">
        <x:f t="shared" si="4"/>
        <x:v>1232000</x:v>
      </x:c>
      <x:c r="N29" s="6"/>
    </x:row>
    <x:row r="30" spans="1:14" ht="20.100000000000001" customHeight="1">
      <x:c r="A30" s="299"/>
      <x:c r="B30" s="3" t="s">
        <x:v>947</x:v>
      </x:c>
      <x:c r="C30" s="3" t="s">
        <x:v>914</x:v>
      </x:c>
      <x:c r="D30" s="4">
        <x:v>130000</x:v>
      </x:c>
      <x:c r="E30" s="4">
        <x:f>+D30*0.1</x:f>
        <x:v>13000</x:v>
      </x:c>
      <x:c r="F30" s="5">
        <x:f>+D30+E30</x:f>
        <x:v>143000</x:v>
      </x:c>
      <x:c r="G30" s="6"/>
      <x:c r="H30" s="299"/>
      <x:c r="I30" s="3" t="s">
        <x:v>186</x:v>
      </x:c>
      <x:c r="J30" s="3" t="s">
        <x:v>941</x:v>
      </x:c>
      <x:c r="K30" s="4">
        <x:v>550000</x:v>
      </x:c>
      <x:c r="L30" s="4"/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828</x:v>
      </x:c>
      <x:c r="C31" s="3" t="s">
        <x:v>167</x:v>
      </x:c>
      <x:c r="D31" s="4">
        <x:v>30000</x:v>
      </x:c>
      <x:c r="E31" s="4">
        <x:f>+D31*0.1</x:f>
        <x:v>3000</x:v>
      </x:c>
      <x:c r="F31" s="5">
        <x:f>+D31+E31</x:f>
        <x:v>33000</x:v>
      </x:c>
      <x:c r="G31" s="6"/>
      <x:c r="H31" s="299"/>
      <x:c r="I31" s="3" t="s">
        <x:v>923</x:v>
      </x:c>
      <x:c r="J31" s="3" t="s">
        <x:v>896</x:v>
      </x:c>
      <x:c r="K31" s="4">
        <x:v>300000</x:v>
      </x:c>
      <x:c r="L31" s="4">
        <x:f>K31*0.1</x:f>
        <x:v>30000</x:v>
      </x:c>
      <x:c r="M31" s="5">
        <x:f t="shared" si="4"/>
        <x:v>330000</x:v>
      </x:c>
      <x:c r="N31" s="6"/>
    </x:row>
    <x:row r="32" spans="1:14" ht="20.100000000000001" customHeight="1">
      <x:c r="A32" s="299"/>
      <x:c r="B32" s="3" t="s">
        <x:v>169</x:v>
      </x:c>
      <x:c r="C32" s="3" t="s">
        <x:v>837</x:v>
      </x:c>
      <x:c r="D32" s="4">
        <x:f>1863890-D28</x:f>
        <x:v>1275890</x:v>
      </x:c>
      <x:c r="E32" s="4"/>
      <x:c r="F32" s="5">
        <x:f t="shared" ref="F32:F37" si="5">+D32+E32</x:f>
        <x:v>1275890</x:v>
      </x:c>
      <x:c r="G32" s="6"/>
      <x:c r="H32" s="299"/>
      <x:c r="I32" s="3" t="s">
        <x:v>1680</x:v>
      </x:c>
      <x:c r="J32" s="3" t="s">
        <x:v>1695</x:v>
      </x:c>
      <x:c r="K32" s="4">
        <x:v>130000</x:v>
      </x:c>
      <x:c r="L32" s="4">
        <x:f>K32*0.1</x:f>
        <x:v>13000</x:v>
      </x:c>
      <x:c r="M32" s="5">
        <x:f t="shared" si="4"/>
        <x:v>143000</x:v>
      </x:c>
      <x:c r="N32" s="6"/>
    </x:row>
    <x:row r="33" spans="1:14" ht="20.100000000000001" customHeight="1">
      <x:c r="A33" s="299"/>
      <x:c r="B33" s="3"/>
      <x:c r="C33" s="3"/>
      <x:c r="D33" s="44"/>
      <x:c r="E33" s="44"/>
      <x:c r="F33" s="45">
        <x:f t="shared" si="5"/>
        <x:v>0</x:v>
      </x:c>
      <x:c r="G33" s="6"/>
      <x:c r="H33" s="299"/>
      <x:c r="I33" s="3" t="s">
        <x:v>185</x:v>
      </x:c>
      <x:c r="J33" s="3" t="s">
        <x:v>149</x:v>
      </x:c>
      <x:c r="K33" s="4">
        <x:v>1888050</x:v>
      </x:c>
      <x:c r="L33" s="4">
        <x:v>7000</x:v>
      </x:c>
      <x:c r="M33" s="5">
        <x:f t="shared" si="4"/>
        <x:v>1895050</x:v>
      </x:c>
      <x:c r="N33" s="6"/>
    </x:row>
    <x:row r="34" spans="1:14" ht="20.100000000000001" customHeight="1">
      <x:c r="A34" s="299"/>
      <x:c r="B34" s="3"/>
      <x:c r="C34" s="3"/>
      <x:c r="D34" s="4"/>
      <x:c r="E34" s="4"/>
      <x:c r="F34" s="5">
        <x:f t="shared" si="5"/>
        <x:v>0</x:v>
      </x:c>
      <x:c r="G34" s="6"/>
      <x:c r="H34" s="299"/>
      <x:c r="I34" s="3" t="s">
        <x:v>1699</x:v>
      </x:c>
      <x:c r="J34" s="3" t="s">
        <x:v>167</x:v>
      </x:c>
      <x:c r="K34" s="4">
        <x:v>105000</x:v>
      </x:c>
      <x:c r="L34" s="4">
        <x:f>K34*0.1</x:f>
        <x:v>10500</x:v>
      </x:c>
      <x:c r="M34" s="5">
        <x:f t="shared" si="4"/>
        <x:v>115500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5"/>
        <x:v>0</x:v>
      </x:c>
      <x:c r="G35" s="6"/>
      <x:c r="H35" s="299"/>
      <x:c r="I35" s="3" t="s">
        <x:v>994</x:v>
      </x:c>
      <x:c r="J35" s="3" t="s">
        <x:v>8</x:v>
      </x:c>
      <x:c r="K35" s="4">
        <x:v>424546</x:v>
      </x:c>
      <x:c r="L35" s="4">
        <x:v>42454</x:v>
      </x:c>
      <x:c r="M35" s="5">
        <x:f t="shared" si="4"/>
        <x:v>467000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 t="s">
        <x:v>973</x:v>
      </x:c>
      <x:c r="J36" s="3" t="s">
        <x:v>1057</x:v>
      </x:c>
      <x:c r="K36" s="4">
        <x:v>160000</x:v>
      </x:c>
      <x:c r="L36" s="4">
        <x:f>+K36*0.1</x:f>
        <x:v>16000</x:v>
      </x:c>
      <x:c r="M36" s="5">
        <x:f t="shared" si="4"/>
        <x:v>176000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2523890</x:v>
      </x:c>
      <x:c r="E38" s="9">
        <x:f>SUM(E28:E37)</x:f>
        <x:v>16000</x:v>
      </x:c>
      <x:c r="F38" s="10">
        <x:f>SUM(F28:F37)</x:f>
        <x:v>2539890</x:v>
      </x:c>
      <x:c r="G38" s="11"/>
      <x:c r="H38" s="7"/>
      <x:c r="I38" s="8"/>
      <x:c r="J38" s="8"/>
      <x:c r="K38" s="9">
        <x:f>SUM(K28:K37)</x:f>
        <x:v>5322596</x:v>
      </x:c>
      <x:c r="L38" s="9">
        <x:f>SUM(L28:L37)</x:f>
        <x:v>295454</x:v>
      </x:c>
      <x:c r="M38" s="10">
        <x:f>SUM(M28:M37)</x:f>
        <x:v>5618050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32102080</x:v>
      </x:c>
      <x:c r="E39" s="14">
        <x:f>+E15+E22+E27+E38</x:f>
        <x:v>667670</x:v>
      </x:c>
      <x:c r="F39" s="15">
        <x:f>+F15+F22+F27+F38</x:f>
        <x:v>32769750</x:v>
      </x:c>
      <x:c r="G39" s="16"/>
      <x:c r="H39" s="12"/>
      <x:c r="I39" s="13"/>
      <x:c r="J39" s="13"/>
      <x:c r="K39" s="14">
        <x:f>+K15+K22+K27+K38</x:f>
        <x:v>104801276</x:v>
      </x:c>
      <x:c r="L39" s="14">
        <x:f>+L15+L22+L27+L38</x:f>
        <x:v>7775322</x:v>
      </x:c>
      <x:c r="M39" s="15">
        <x:f>+M15+M22+M27+M38</x:f>
        <x:v>112576598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125932436</x:v>
      </x:c>
      <x:c r="E40" s="25">
        <x:f>+E4-E39</x:f>
        <x:v>7112814</x:v>
      </x:c>
      <x:c r="F40" s="26">
        <x:f>+F4-F39</x:f>
        <x:v>133045250</x:v>
      </x:c>
      <x:c r="G40" s="27"/>
      <x:c r="H40" s="23"/>
      <x:c r="I40" s="24"/>
      <x:c r="J40" s="24"/>
      <x:c r="K40" s="25">
        <x:f>+K4-K39</x:f>
        <x:v>49998724</x:v>
      </x:c>
      <x:c r="L40" s="25">
        <x:f>+L4-L39</x:f>
        <x:v>-7775322</x:v>
      </x:c>
      <x:c r="M40" s="26">
        <x:f>+M4-M39</x:f>
        <x:v>42223402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79" t="s">
        <x:v>144</x:v>
      </x:c>
      <x:c r="C42" s="79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79" t="s">
        <x:v>144</x:v>
      </x:c>
      <x:c r="J42" s="79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78" t="s">
        <x:v>151</x:v>
      </x:c>
      <x:c r="B43" s="38" t="s">
        <x:v>1679</x:v>
      </x:c>
      <x:c r="C43" s="38" t="s">
        <x:v>1030</x:v>
      </x:c>
      <x:c r="D43" s="39">
        <x:v>10000000</x:v>
      </x:c>
      <x:c r="E43" s="39">
        <x:v>739420</x:v>
      </x:c>
      <x:c r="F43" s="40">
        <x:f>+D43+E43</x:f>
        <x:v>10739420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v>68327000</x:v>
      </x:c>
      <x:c r="L43" s="39">
        <x:v>779000</x:v>
      </x:c>
      <x:c r="M43" s="40">
        <x:f>+K43+L43</x:f>
        <x:v>69106000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/>
      <x:c r="D44" s="20"/>
      <x:c r="E44" s="20"/>
      <x:c r="F44" s="21">
        <x:f>+D44+E44</x:f>
        <x:v>0</x:v>
      </x:c>
      <x:c r="G44" s="22"/>
      <x:c r="H44" s="298" t="s">
        <x:v>148</x:v>
      </x:c>
      <x:c r="I44" s="19" t="s">
        <x:v>838</x:v>
      </x:c>
      <x:c r="J44" s="19" t="s">
        <x:v>651</x:v>
      </x:c>
      <x:c r="K44" s="20">
        <x:v>1586380</x:v>
      </x:c>
      <x:c r="L44" s="20">
        <x:f>K44*0.1</x:f>
        <x:v>158638</x:v>
      </x:c>
      <x:c r="M44" s="21">
        <x:f t="shared" ref="M44:M58" si="6">+K44+L44</x:f>
        <x:v>1745018</x:v>
      </x:c>
      <x:c r="N44" s="22"/>
    </x:row>
    <x:row r="45" spans="1:14" ht="20.100000000000001" customHeight="1">
      <x:c r="A45" s="299"/>
      <x:c r="B45" s="3" t="s">
        <x:v>21</x:v>
      </x:c>
      <x:c r="C45" s="3"/>
      <x:c r="D45" s="4"/>
      <x:c r="E45" s="4">
        <x:f>D45*0.1</x:f>
        <x:v>0</x:v>
      </x:c>
      <x:c r="F45" s="5">
        <x:f>+D45+E45</x:f>
        <x:v>0</x:v>
      </x:c>
      <x:c r="G45" s="6"/>
      <x:c r="H45" s="299"/>
      <x:c r="I45" s="3" t="s">
        <x:v>34</x:v>
      </x:c>
      <x:c r="J45" s="3" t="s">
        <x:v>649</x:v>
      </x:c>
      <x:c r="K45" s="4">
        <x:v>464000</x:v>
      </x:c>
      <x:c r="L45" s="4">
        <x:f>+K45*0.1</x:f>
        <x:v>46400</x:v>
      </x:c>
      <x:c r="M45" s="5">
        <x:f t="shared" si="6"/>
        <x:v>510400</x:v>
      </x:c>
      <x:c r="N45" s="6"/>
    </x:row>
    <x:row r="46" spans="1:14" ht="20.100000000000001" customHeight="1">
      <x:c r="A46" s="299"/>
      <x:c r="B46" s="3" t="s">
        <x:v>34</x:v>
      </x:c>
      <x:c r="C46" s="3"/>
      <x:c r="D46" s="4"/>
      <x:c r="E46" s="4"/>
      <x:c r="F46" s="5">
        <x:f>+D46+E46</x:f>
        <x:v>0</x:v>
      </x:c>
      <x:c r="G46" s="6"/>
      <x:c r="H46" s="299"/>
      <x:c r="I46" s="3" t="s">
        <x:v>21</x:v>
      </x:c>
      <x:c r="J46" s="3" t="s">
        <x:v>925</x:v>
      </x:c>
      <x:c r="K46" s="4">
        <x:v>9960400</x:v>
      </x:c>
      <x:c r="L46" s="4">
        <x:f>K46*0.1</x:f>
        <x:v>996040</x:v>
      </x:c>
      <x:c r="M46" s="5">
        <x:f t="shared" si="6"/>
        <x:v>10956440</x:v>
      </x:c>
      <x:c r="N46" s="6"/>
    </x:row>
    <x:row r="47" spans="1:14" ht="20.100000000000001" customHeight="1">
      <x:c r="A47" s="299"/>
      <x:c r="B47" s="3" t="s">
        <x:v>840</x:v>
      </x:c>
      <x:c r="C47" s="3"/>
      <x:c r="D47" s="4"/>
      <x:c r="E47" s="4">
        <x:f>D47*0.1</x:f>
        <x:v>0</x:v>
      </x:c>
      <x:c r="F47" s="5">
        <x:f>+D47+E47</x:f>
        <x:v>0</x:v>
      </x:c>
      <x:c r="G47" s="6"/>
      <x:c r="H47" s="299"/>
      <x:c r="I47" s="3" t="s">
        <x:v>846</x:v>
      </x:c>
      <x:c r="J47" s="3" t="s">
        <x:v>647</x:v>
      </x:c>
      <x:c r="K47" s="4">
        <x:v>1108800</x:v>
      </x:c>
      <x:c r="L47" s="4">
        <x:f>K47*0.1</x:f>
        <x:v>110880</x:v>
      </x:c>
      <x:c r="M47" s="5">
        <x:f t="shared" si="6"/>
        <x:v>1219680</x:v>
      </x:c>
      <x:c r="N47" s="6"/>
    </x:row>
    <x:row r="48" spans="1:14" ht="20.100000000000001" customHeight="1">
      <x:c r="A48" s="299"/>
      <x:c r="B48" s="3" t="s">
        <x:v>892</x:v>
      </x:c>
      <x:c r="C48" s="3"/>
      <x:c r="D48" s="4"/>
      <x:c r="E48" s="4"/>
      <x:c r="F48" s="5">
        <x:f t="shared" ref="F48:F57" si="7">+D48+E48</x:f>
        <x:v>0</x:v>
      </x:c>
      <x:c r="G48" s="6"/>
      <x:c r="H48" s="299"/>
      <x:c r="I48" s="3" t="s">
        <x:v>846</x:v>
      </x:c>
      <x:c r="J48" s="3" t="s">
        <x:v>1005</x:v>
      </x:c>
      <x:c r="K48" s="4">
        <x:v>310000</x:v>
      </x:c>
      <x:c r="L48" s="4">
        <x:f>K48*0.1</x:f>
        <x:v>31000</x:v>
      </x:c>
      <x:c r="M48" s="5">
        <x:f t="shared" si="6"/>
        <x:v>341000</x:v>
      </x:c>
      <x:c r="N48" s="6"/>
    </x:row>
    <x:row r="49" spans="1:14" ht="20.100000000000001" customHeight="1">
      <x:c r="A49" s="299"/>
      <x:c r="B49" s="3" t="s">
        <x:v>846</x:v>
      </x:c>
      <x:c r="C49" s="3" t="s">
        <x:v>358</x:v>
      </x:c>
      <x:c r="D49" s="4">
        <x:v>616350</x:v>
      </x:c>
      <x:c r="E49" s="4">
        <x:f>D49*0.1</x:f>
        <x:v>61635</x:v>
      </x:c>
      <x:c r="F49" s="5">
        <x:f t="shared" si="7"/>
        <x:v>677985</x:v>
      </x:c>
      <x:c r="G49" s="6"/>
      <x:c r="H49" s="299"/>
      <x:c r="I49" s="3"/>
      <x:c r="J49" s="3"/>
      <x:c r="K49" s="4"/>
      <x:c r="L49" s="4">
        <x:f>K49*0.1</x:f>
        <x:v>0</x:v>
      </x:c>
      <x:c r="M49" s="5">
        <x:f t="shared" si="6"/>
        <x:v>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8">+INT(D50*0.1)</x:f>
        <x:v>0</x:v>
      </x:c>
      <x:c r="F50" s="5">
        <x:f t="shared" si="7"/>
        <x:v>0</x:v>
      </x:c>
      <x:c r="G50" s="6"/>
      <x:c r="H50" s="299"/>
      <x:c r="I50" s="3"/>
      <x:c r="J50" s="3"/>
      <x:c r="K50" s="4"/>
      <x:c r="L50" s="4">
        <x:f t="shared" ref="L50:L58" si="9">+K50*0.1</x:f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8"/>
        <x:v>0</x:v>
      </x:c>
      <x:c r="F51" s="5">
        <x:f t="shared" si="7"/>
        <x:v>0</x:v>
      </x:c>
      <x:c r="G51" s="6"/>
      <x:c r="H51" s="299"/>
      <x:c r="I51" s="3"/>
      <x:c r="J51" s="3"/>
      <x:c r="K51" s="4"/>
      <x:c r="L51" s="4">
        <x:f t="shared" si="9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8"/>
        <x:v>0</x:v>
      </x:c>
      <x:c r="F52" s="5">
        <x:f t="shared" si="7"/>
        <x:v>0</x:v>
      </x:c>
      <x:c r="G52" s="6"/>
      <x:c r="H52" s="299"/>
      <x:c r="I52" s="3"/>
      <x:c r="J52" s="3"/>
      <x:c r="K52" s="4"/>
      <x:c r="L52" s="4">
        <x:f t="shared" si="9"/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8"/>
        <x:v>0</x:v>
      </x:c>
      <x:c r="F53" s="5">
        <x:f t="shared" si="7"/>
        <x:v>0</x:v>
      </x:c>
      <x:c r="G53" s="6"/>
      <x:c r="H53" s="299"/>
      <x:c r="I53" s="3"/>
      <x:c r="J53" s="3"/>
      <x:c r="K53" s="4"/>
      <x:c r="L53" s="4">
        <x:f t="shared" si="9"/>
        <x:v>0</x:v>
      </x:c>
      <x:c r="M53" s="5">
        <x:f t="shared" si="6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8"/>
        <x:v>0</x:v>
      </x:c>
      <x:c r="F54" s="5">
        <x:f t="shared" si="7"/>
        <x:v>0</x:v>
      </x:c>
      <x:c r="G54" s="6"/>
      <x:c r="H54" s="299"/>
      <x:c r="I54" s="3"/>
      <x:c r="J54" s="3"/>
      <x:c r="K54" s="4"/>
      <x:c r="L54" s="4">
        <x:f t="shared" si="9"/>
        <x:v>0</x:v>
      </x:c>
      <x:c r="M54" s="5">
        <x:f t="shared" si="6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8"/>
        <x:v>0</x:v>
      </x:c>
      <x:c r="F55" s="5">
        <x:f t="shared" si="7"/>
        <x:v>0</x:v>
      </x:c>
      <x:c r="G55" s="6"/>
      <x:c r="H55" s="299"/>
      <x:c r="I55" s="3"/>
      <x:c r="J55" s="3"/>
      <x:c r="K55" s="4"/>
      <x:c r="L55" s="4">
        <x:f t="shared" si="9"/>
        <x:v>0</x:v>
      </x:c>
      <x:c r="M55" s="5">
        <x:f t="shared" si="6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8"/>
        <x:v>0</x:v>
      </x:c>
      <x:c r="F56" s="5">
        <x:f t="shared" si="7"/>
        <x:v>0</x:v>
      </x:c>
      <x:c r="G56" s="6"/>
      <x:c r="H56" s="299"/>
      <x:c r="I56" s="3"/>
      <x:c r="J56" s="3"/>
      <x:c r="K56" s="4"/>
      <x:c r="L56" s="4">
        <x:f t="shared" si="9"/>
        <x:v>0</x:v>
      </x:c>
      <x:c r="M56" s="5">
        <x:f t="shared" si="6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8"/>
        <x:v>0</x:v>
      </x:c>
      <x:c r="F57" s="5">
        <x:f t="shared" si="7"/>
        <x:v>0</x:v>
      </x:c>
      <x:c r="G57" s="6"/>
      <x:c r="H57" s="299"/>
      <x:c r="I57" s="3"/>
      <x:c r="J57" s="3"/>
      <x:c r="K57" s="4"/>
      <x:c r="L57" s="4">
        <x:f t="shared" si="9"/>
        <x:v>0</x:v>
      </x:c>
      <x:c r="M57" s="5">
        <x:f t="shared" si="6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 t="shared" si="9"/>
        <x:v>0</x:v>
      </x:c>
      <x:c r="M58" s="5">
        <x:f t="shared" si="6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616350</x:v>
      </x:c>
      <x:c r="E59" s="9">
        <x:f>SUM(E44:E58)</x:f>
        <x:v>61635</x:v>
      </x:c>
      <x:c r="F59" s="10">
        <x:f>SUM(F44:F58)</x:f>
        <x:v>677985</x:v>
      </x:c>
      <x:c r="G59" s="11"/>
      <x:c r="H59" s="7"/>
      <x:c r="I59" s="8"/>
      <x:c r="J59" s="8"/>
      <x:c r="K59" s="9">
        <x:f>SUM(K44:K58)</x:f>
        <x:v>13429580</x:v>
      </x:c>
      <x:c r="L59" s="9">
        <x:f>SUM(L44:L58)</x:f>
        <x:v>1342958</x:v>
      </x:c>
      <x:c r="M59" s="10">
        <x:f>SUM(M44:M58)</x:f>
        <x:v>14772538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/>
      <x:c r="D60" s="44">
        <x:v>560000</x:v>
      </x:c>
      <x:c r="E60" s="44"/>
      <x:c r="F60" s="45">
        <x:f>+D60+E60</x:f>
        <x:v>560000</x:v>
      </x:c>
      <x:c r="G60" s="37"/>
      <x:c r="H60" s="301" t="s">
        <x:v>153</x:v>
      </x:c>
      <x:c r="I60" s="3" t="s">
        <x:v>1677</x:v>
      </x:c>
      <x:c r="J60" s="3"/>
      <x:c r="K60" s="4">
        <x:v>36765000</x:v>
      </x:c>
      <x:c r="L60" s="4"/>
      <x:c r="M60" s="5">
        <x:f>+K60+L60</x:f>
        <x:v>36765000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560000</x:v>
      </x:c>
      <x:c r="E64" s="9">
        <x:f>SUM(E60:E63)</x:f>
        <x:v>0</x:v>
      </x:c>
      <x:c r="F64" s="10">
        <x:f>SUM(F60:F63)</x:f>
        <x:v>560000</x:v>
      </x:c>
      <x:c r="G64" s="11"/>
      <x:c r="H64" s="7"/>
      <x:c r="I64" s="8"/>
      <x:c r="J64" s="8"/>
      <x:c r="K64" s="9">
        <x:f>SUM(K60:K63)</x:f>
        <x:v>36765000</x:v>
      </x:c>
      <x:c r="L64" s="9">
        <x:f>SUM(L60:L63)</x:f>
        <x:v>0</x:v>
      </x:c>
      <x:c r="M64" s="10">
        <x:f>SUM(M60:M63)</x:f>
        <x:v>36765000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1226890</x:v>
      </x:c>
      <x:c r="L70" s="4"/>
      <x:c r="M70" s="5">
        <x:f t="shared" ref="M70:M77" si="10">+K70+L70</x:f>
        <x:v>1226890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52810</x:v>
      </x:c>
      <x:c r="E71" s="4"/>
      <x:c r="F71" s="5">
        <x:f t="shared" ref="F71:F79" si="11">+D71+E71</x:f>
        <x:v>52810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0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/>
      <x:c r="E72" s="4"/>
      <x:c r="F72" s="5">
        <x:f t="shared" si="11"/>
        <x:v>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0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1"/>
        <x:v>110000</x:v>
      </x:c>
      <x:c r="G73" s="6"/>
      <x:c r="H73" s="299"/>
      <x:c r="I73" s="3" t="s">
        <x:v>945</x:v>
      </x:c>
      <x:c r="J73" s="3" t="s">
        <x:v>962</x:v>
      </x:c>
      <x:c r="K73" s="4">
        <x:v>1008000</x:v>
      </x:c>
      <x:c r="L73" s="4">
        <x:f>+K73*0.1</x:f>
        <x:v>100800</x:v>
      </x:c>
      <x:c r="M73" s="5">
        <x:f t="shared" si="10"/>
        <x:v>1108800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/>
      <x:c r="E74" s="4"/>
      <x:c r="F74" s="5">
        <x:f t="shared" si="11"/>
        <x:v>0</x:v>
      </x:c>
      <x:c r="G74" s="6"/>
      <x:c r="H74" s="299"/>
      <x:c r="I74" s="3" t="s">
        <x:v>1038</x:v>
      </x:c>
      <x:c r="J74" s="3" t="s">
        <x:v>167</x:v>
      </x:c>
      <x:c r="K74" s="4">
        <x:v>37000</x:v>
      </x:c>
      <x:c r="L74" s="4">
        <x:f>+K74*0.1</x:f>
        <x:v>3700</x:v>
      </x:c>
      <x:c r="M74" s="5">
        <x:f t="shared" si="10"/>
        <x:v>40700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1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0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>
        <x:f>+D76*0.1</x:f>
        <x:v>0</x:v>
      </x:c>
      <x:c r="F76" s="5">
        <x:f t="shared" si="11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0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1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0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1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1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602810</x:v>
      </x:c>
      <x:c r="E80" s="9">
        <x:f>SUM(E70:E79)</x:f>
        <x:v>55000</x:v>
      </x:c>
      <x:c r="F80" s="10">
        <x:f>SUM(F70:F79)</x:f>
        <x:v>657810</x:v>
      </x:c>
      <x:c r="G80" s="11"/>
      <x:c r="H80" s="7"/>
      <x:c r="I80" s="8"/>
      <x:c r="J80" s="8"/>
      <x:c r="K80" s="9">
        <x:f>SUM(K70:K79)</x:f>
        <x:v>2679760</x:v>
      </x:c>
      <x:c r="L80" s="9">
        <x:f>SUM(L70:L79)</x:f>
        <x:v>108500</x:v>
      </x:c>
      <x:c r="M80" s="10">
        <x:f>SUM(M70:M79)</x:f>
        <x:v>2788260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1779160</x:v>
      </x:c>
      <x:c r="E81" s="14">
        <x:f>+E59+E64+E69+E80</x:f>
        <x:v>116635</x:v>
      </x:c>
      <x:c r="F81" s="15">
        <x:f>+F59+F64+F69+F80</x:f>
        <x:v>1895795</x:v>
      </x:c>
      <x:c r="G81" s="16"/>
      <x:c r="H81" s="12"/>
      <x:c r="I81" s="13"/>
      <x:c r="J81" s="13"/>
      <x:c r="K81" s="14">
        <x:f>+K59+K64+K69+K80</x:f>
        <x:v>52874340</x:v>
      </x:c>
      <x:c r="L81" s="14">
        <x:f>+L59+L64+L69+L80</x:f>
        <x:v>1451458</x:v>
      </x:c>
      <x:c r="M81" s="15">
        <x:f>+M59+M64+M69+M80</x:f>
        <x:v>54325798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8220840</x:v>
      </x:c>
      <x:c r="E82" s="25">
        <x:f>+E43-E81</x:f>
        <x:v>622785</x:v>
      </x:c>
      <x:c r="F82" s="26">
        <x:f>+F43-F81</x:f>
        <x:v>8843625</x:v>
      </x:c>
      <x:c r="G82" s="27"/>
      <x:c r="H82" s="23"/>
      <x:c r="I82" s="24"/>
      <x:c r="J82" s="24"/>
      <x:c r="K82" s="25">
        <x:f>+K43-K81</x:f>
        <x:v>15452660</x:v>
      </x:c>
      <x:c r="L82" s="25">
        <x:f>+L43-L81</x:f>
        <x:v>-672458</x:v>
      </x:c>
      <x:c r="M82" s="26">
        <x:f>+M43-M81</x:f>
        <x:v>14780202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79" t="s">
        <x:v>144</x:v>
      </x:c>
      <x:c r="C84" s="79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79" t="s">
        <x:v>144</x:v>
      </x:c>
      <x:c r="J84" s="79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78" t="s">
        <x:v>151</x:v>
      </x:c>
      <x:c r="B85" s="38" t="s">
        <x:v>1679</x:v>
      </x:c>
      <x:c r="C85" s="38" t="s">
        <x:v>1030</x:v>
      </x:c>
      <x:c r="D85" s="39"/>
      <x:c r="E85" s="39"/>
      <x:c r="F85" s="40">
        <x:f>+D85+E85</x:f>
        <x:v>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14869830</x:v>
      </x:c>
      <x:c r="L85" s="39">
        <x:v>130170</x:v>
      </x:c>
      <x:c r="M85" s="40">
        <x:f>+K85+L85</x:f>
        <x:v>15000000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942</x:v>
      </x:c>
      <x:c r="D86" s="20">
        <x:v>2297600</x:v>
      </x:c>
      <x:c r="E86" s="20">
        <x:f>+D86*0.1</x:f>
        <x:v>229760</x:v>
      </x:c>
      <x:c r="F86" s="21">
        <x:f>+D86+E86</x:f>
        <x:v>2527360</x:v>
      </x:c>
      <x:c r="G86" s="22"/>
      <x:c r="H86" s="298" t="s">
        <x:v>148</x:v>
      </x:c>
      <x:c r="I86" s="19" t="s">
        <x:v>907</x:v>
      </x:c>
      <x:c r="J86" s="19" t="s">
        <x:v>183</x:v>
      </x:c>
      <x:c r="K86" s="20">
        <x:v>57000</x:v>
      </x:c>
      <x:c r="L86" s="20">
        <x:f>+K86*0.1</x:f>
        <x:v>5700</x:v>
      </x:c>
      <x:c r="M86" s="21">
        <x:f t="shared" ref="M86:M100" si="12">+K86+L86</x:f>
        <x:v>62700</x:v>
      </x:c>
      <x:c r="N86" s="22"/>
    </x:row>
    <x:row r="87" spans="1:14" ht="20.100000000000001" customHeight="1">
      <x:c r="A87" s="299"/>
      <x:c r="B87" s="3" t="s">
        <x:v>867</x:v>
      </x:c>
      <x:c r="C87" s="3" t="s">
        <x:v>72</x:v>
      </x:c>
      <x:c r="D87" s="4">
        <x:v>751900</x:v>
      </x:c>
      <x:c r="E87" s="4">
        <x:f>+D87*0.1</x:f>
        <x:v>75190</x:v>
      </x:c>
      <x:c r="F87" s="5">
        <x:f>+D87+E87</x:f>
        <x:v>827090</x:v>
      </x:c>
      <x:c r="G87" s="6"/>
      <x:c r="H87" s="299"/>
      <x:c r="I87" s="3" t="s">
        <x:v>846</x:v>
      </x:c>
      <x:c r="J87" s="3" t="s">
        <x:v>646</x:v>
      </x:c>
      <x:c r="K87" s="4">
        <x:v>45000</x:v>
      </x:c>
      <x:c r="L87" s="4">
        <x:f>K87*0.1</x:f>
        <x:v>4500</x:v>
      </x:c>
      <x:c r="M87" s="5">
        <x:f t="shared" si="12"/>
        <x:v>49500</x:v>
      </x:c>
      <x:c r="N87" s="6"/>
    </x:row>
    <x:row r="88" spans="1:14" ht="20.100000000000001" customHeight="1">
      <x:c r="A88" s="299"/>
      <x:c r="B88" s="3" t="s">
        <x:v>907</x:v>
      </x:c>
      <x:c r="C88" s="3" t="s">
        <x:v>894</x:v>
      </x:c>
      <x:c r="D88" s="4">
        <x:v>460000</x:v>
      </x:c>
      <x:c r="E88" s="4">
        <x:f>+D88*0.1</x:f>
        <x:v>46000</x:v>
      </x:c>
      <x:c r="F88" s="5">
        <x:f>+D88+E88</x:f>
        <x:v>506000</x:v>
      </x:c>
      <x:c r="G88" s="6"/>
      <x:c r="H88" s="299"/>
      <x:c r="I88" s="3"/>
      <x:c r="J88" s="3"/>
      <x:c r="K88" s="4"/>
      <x:c r="L88" s="4">
        <x:f t="shared" ref="L88:L100" si="13">+K88*0.1</x:f>
        <x:v>0</x:v>
      </x:c>
      <x:c r="M88" s="5">
        <x:f t="shared" si="12"/>
        <x:v>0</x:v>
      </x:c>
      <x:c r="N88" s="6"/>
    </x:row>
    <x:row r="89" spans="1:14" ht="20.100000000000001" customHeight="1">
      <x:c r="A89" s="299"/>
      <x:c r="B89" s="3" t="s">
        <x:v>846</x:v>
      </x:c>
      <x:c r="C89" s="3" t="s">
        <x:v>1046</x:v>
      </x:c>
      <x:c r="D89" s="4">
        <x:v>3169316</x:v>
      </x:c>
      <x:c r="E89" s="4">
        <x:f>+INT(D89*0.1)-1</x:f>
        <x:v>316930</x:v>
      </x:c>
      <x:c r="F89" s="5">
        <x:f t="shared" ref="F89:F99" si="14">+D89+E89</x:f>
        <x:v>3486246</x:v>
      </x:c>
      <x:c r="G89" s="6"/>
      <x:c r="H89" s="299"/>
      <x:c r="I89" s="3"/>
      <x:c r="J89" s="3"/>
      <x:c r="K89" s="4"/>
      <x:c r="L89" s="4">
        <x:f t="shared" si="13"/>
        <x:v>0</x:v>
      </x:c>
      <x:c r="M89" s="5">
        <x:f t="shared" si="12"/>
        <x:v>0</x:v>
      </x:c>
      <x:c r="N89" s="6"/>
    </x:row>
    <x:row r="90" spans="1:14" ht="20.100000000000001" customHeight="1">
      <x:c r="A90" s="299"/>
      <x:c r="B90" s="3" t="s">
        <x:v>938</x:v>
      </x:c>
      <x:c r="C90" s="3" t="s">
        <x:v>953</x:v>
      </x:c>
      <x:c r="D90" s="4">
        <x:v>479500</x:v>
      </x:c>
      <x:c r="E90" s="4">
        <x:f t="shared" ref="E90:E99" si="15">+INT(D90*0.1)</x:f>
        <x:v>47950</x:v>
      </x:c>
      <x:c r="F90" s="5">
        <x:f t="shared" si="14"/>
        <x:v>527450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2"/>
        <x:v>0</x:v>
      </x:c>
      <x:c r="N90" s="6"/>
    </x:row>
    <x:row r="91" spans="1:14" ht="20.100000000000001" customHeight="1">
      <x:c r="A91" s="299"/>
      <x:c r="B91" s="3"/>
      <x:c r="C91" s="3"/>
      <x:c r="D91" s="4"/>
      <x:c r="E91" s="4">
        <x:f t="shared" si="15"/>
        <x:v>0</x:v>
      </x:c>
      <x:c r="F91" s="5">
        <x:f t="shared" si="14"/>
        <x:v>0</x:v>
      </x:c>
      <x:c r="G91" s="6"/>
      <x:c r="H91" s="299"/>
      <x:c r="I91" s="3"/>
      <x:c r="J91" s="3"/>
      <x:c r="K91" s="4"/>
      <x:c r="L91" s="4">
        <x:f t="shared" si="13"/>
        <x:v>0</x:v>
      </x:c>
      <x:c r="M91" s="5">
        <x:f t="shared" si="12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5"/>
        <x:v>0</x:v>
      </x:c>
      <x:c r="F92" s="5">
        <x:f t="shared" si="14"/>
        <x:v>0</x:v>
      </x:c>
      <x:c r="G92" s="6"/>
      <x:c r="H92" s="299"/>
      <x:c r="I92" s="3"/>
      <x:c r="J92" s="3"/>
      <x:c r="K92" s="4"/>
      <x:c r="L92" s="4">
        <x:f t="shared" si="13"/>
        <x:v>0</x:v>
      </x:c>
      <x:c r="M92" s="5">
        <x:f t="shared" si="12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5"/>
        <x:v>0</x:v>
      </x:c>
      <x:c r="F93" s="5">
        <x:f t="shared" si="14"/>
        <x:v>0</x:v>
      </x:c>
      <x:c r="G93" s="6"/>
      <x:c r="H93" s="299"/>
      <x:c r="I93" s="3"/>
      <x:c r="J93" s="3"/>
      <x:c r="K93" s="4"/>
      <x:c r="L93" s="4">
        <x:f t="shared" si="13"/>
        <x:v>0</x:v>
      </x:c>
      <x:c r="M93" s="5">
        <x:f t="shared" si="12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5"/>
        <x:v>0</x:v>
      </x:c>
      <x:c r="F94" s="5">
        <x:f t="shared" si="14"/>
        <x:v>0</x:v>
      </x:c>
      <x:c r="G94" s="6"/>
      <x:c r="H94" s="299"/>
      <x:c r="I94" s="3"/>
      <x:c r="J94" s="3"/>
      <x:c r="K94" s="4"/>
      <x:c r="L94" s="4">
        <x:f t="shared" si="13"/>
        <x:v>0</x:v>
      </x:c>
      <x:c r="M94" s="5">
        <x:f t="shared" si="12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5"/>
        <x:v>0</x:v>
      </x:c>
      <x:c r="F95" s="5">
        <x:f t="shared" si="14"/>
        <x:v>0</x:v>
      </x:c>
      <x:c r="G95" s="6"/>
      <x:c r="H95" s="299"/>
      <x:c r="I95" s="3"/>
      <x:c r="J95" s="3"/>
      <x:c r="K95" s="4"/>
      <x:c r="L95" s="4">
        <x:f t="shared" si="13"/>
        <x:v>0</x:v>
      </x:c>
      <x:c r="M95" s="5">
        <x:f t="shared" si="12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5"/>
        <x:v>0</x:v>
      </x:c>
      <x:c r="F96" s="5">
        <x:f t="shared" si="14"/>
        <x:v>0</x:v>
      </x:c>
      <x:c r="G96" s="6"/>
      <x:c r="H96" s="299"/>
      <x:c r="I96" s="3"/>
      <x:c r="J96" s="3"/>
      <x:c r="K96" s="4"/>
      <x:c r="L96" s="4">
        <x:f t="shared" si="13"/>
        <x:v>0</x:v>
      </x:c>
      <x:c r="M96" s="5">
        <x:f t="shared" si="12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5"/>
        <x:v>0</x:v>
      </x:c>
      <x:c r="F97" s="5">
        <x:f t="shared" si="14"/>
        <x:v>0</x:v>
      </x:c>
      <x:c r="G97" s="6"/>
      <x:c r="H97" s="299"/>
      <x:c r="I97" s="3"/>
      <x:c r="J97" s="3"/>
      <x:c r="K97" s="4"/>
      <x:c r="L97" s="4">
        <x:f t="shared" si="13"/>
        <x:v>0</x:v>
      </x:c>
      <x:c r="M97" s="5">
        <x:f t="shared" si="12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5"/>
        <x:v>0</x:v>
      </x:c>
      <x:c r="F98" s="5">
        <x:f t="shared" si="14"/>
        <x:v>0</x:v>
      </x:c>
      <x:c r="G98" s="6"/>
      <x:c r="H98" s="299"/>
      <x:c r="I98" s="3"/>
      <x:c r="J98" s="3"/>
      <x:c r="K98" s="4"/>
      <x:c r="L98" s="4">
        <x:f t="shared" si="13"/>
        <x:v>0</x:v>
      </x:c>
      <x:c r="M98" s="5">
        <x:f t="shared" si="12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5"/>
        <x:v>0</x:v>
      </x:c>
      <x:c r="F99" s="5">
        <x:f t="shared" si="14"/>
        <x:v>0</x:v>
      </x:c>
      <x:c r="G99" s="6"/>
      <x:c r="H99" s="299"/>
      <x:c r="I99" s="3"/>
      <x:c r="J99" s="3"/>
      <x:c r="K99" s="4"/>
      <x:c r="L99" s="4">
        <x:f t="shared" si="13"/>
        <x:v>0</x:v>
      </x:c>
      <x:c r="M99" s="5">
        <x:f t="shared" si="12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3"/>
        <x:v>0</x:v>
      </x:c>
      <x:c r="M100" s="5">
        <x:f t="shared" si="12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7158316</x:v>
      </x:c>
      <x:c r="E101" s="9">
        <x:f>SUM(E86:E100)</x:f>
        <x:v>715830</x:v>
      </x:c>
      <x:c r="F101" s="10">
        <x:f>SUM(F86:F100)</x:f>
        <x:v>7874146</x:v>
      </x:c>
      <x:c r="G101" s="11"/>
      <x:c r="H101" s="7"/>
      <x:c r="I101" s="8"/>
      <x:c r="J101" s="8"/>
      <x:c r="K101" s="9">
        <x:f>SUM(K86:K100)</x:f>
        <x:v>102000</x:v>
      </x:c>
      <x:c r="L101" s="9">
        <x:f>SUM(L86:L100)</x:f>
        <x:v>10200</x:v>
      </x:c>
      <x:c r="M101" s="10">
        <x:f>SUM(M86:M100)</x:f>
        <x:v>112200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/>
      <x:c r="D102" s="44">
        <x:v>8310000</x:v>
      </x:c>
      <x:c r="E102" s="44"/>
      <x:c r="F102" s="45">
        <x:f>+D102+E102</x:f>
        <x:v>8310000</x:v>
      </x:c>
      <x:c r="G102" s="37"/>
      <x:c r="H102" s="301" t="s">
        <x:v>153</x:v>
      </x:c>
      <x:c r="I102" s="3" t="s">
        <x:v>1677</x:v>
      </x:c>
      <x:c r="J102" s="3"/>
      <x:c r="K102" s="4">
        <x:v>11175000</x:v>
      </x:c>
      <x:c r="L102" s="4"/>
      <x:c r="M102" s="5">
        <x:f>+K102+L102</x:f>
        <x:v>11175000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8310000</x:v>
      </x:c>
      <x:c r="E106" s="9">
        <x:f>SUM(E102:E105)</x:f>
        <x:v>0</x:v>
      </x:c>
      <x:c r="F106" s="10">
        <x:f>SUM(F102:F105)</x:f>
        <x:v>8310000</x:v>
      </x:c>
      <x:c r="G106" s="11"/>
      <x:c r="H106" s="7"/>
      <x:c r="I106" s="8"/>
      <x:c r="J106" s="8"/>
      <x:c r="K106" s="9">
        <x:f>SUM(K102:K105)</x:f>
        <x:v>11175000</x:v>
      </x:c>
      <x:c r="L106" s="9">
        <x:f>SUM(L102:L105)</x:f>
        <x:v>0</x:v>
      </x:c>
      <x:c r="M106" s="10">
        <x:f>SUM(M102:M105)</x:f>
        <x:v>11175000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665950</x:v>
      </x:c>
      <x:c r="L112" s="4"/>
      <x:c r="M112" s="5">
        <x:f t="shared" ref="M112:M119" si="16">+K112+L112</x:f>
        <x:v>665950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73</x:v>
      </x:c>
      <x:c r="K113" s="4"/>
      <x:c r="L113" s="4">
        <x:f>+K113*0.1</x:f>
        <x:v>0</x:v>
      </x:c>
      <x:c r="M113" s="5">
        <x:f t="shared" si="16"/>
        <x:v>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/>
      <x:c r="E114" s="4">
        <x:f>+D114*0.1</x:f>
        <x:v>0</x:v>
      </x:c>
      <x:c r="F114" s="5">
        <x:f>+D114+E114</x:f>
        <x:v>0</x:v>
      </x:c>
      <x:c r="G114" s="6"/>
      <x:c r="H114" s="299"/>
      <x:c r="I114" s="3" t="s">
        <x:v>919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16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384000</x:v>
      </x:c>
      <x:c r="E115" s="4">
        <x:f>+D115*0.1</x:f>
        <x:v>38400</x:v>
      </x:c>
      <x:c r="F115" s="5">
        <x:f t="shared" ref="F115:F121" si="17">+D115+E115</x:f>
        <x:v>422400</x:v>
      </x:c>
      <x:c r="G115" s="6"/>
      <x:c r="H115" s="299"/>
      <x:c r="I115" s="3" t="s">
        <x:v>633</x:v>
      </x:c>
      <x:c r="J115" s="3" t="s">
        <x:v>962</x:v>
      </x:c>
      <x:c r="K115" s="4">
        <x:v>324000</x:v>
      </x:c>
      <x:c r="L115" s="4">
        <x:f>+K115*0.1</x:f>
        <x:v>32400</x:v>
      </x:c>
      <x:c r="M115" s="5">
        <x:f t="shared" si="16"/>
        <x:v>356400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71000</x:v>
      </x:c>
      <x:c r="E116" s="4"/>
      <x:c r="F116" s="5">
        <x:f t="shared" si="17"/>
        <x:v>71000</x:v>
      </x:c>
      <x:c r="G116" s="6"/>
      <x:c r="H116" s="299"/>
      <x:c r="I116" s="3" t="s">
        <x:v>1049</x:v>
      </x:c>
      <x:c r="J116" s="3" t="s">
        <x:v>167</x:v>
      </x:c>
      <x:c r="K116" s="4">
        <x:v>150000</x:v>
      </x:c>
      <x:c r="L116" s="4">
        <x:f>+K116*0.1</x:f>
        <x:v>15000</x:v>
      </x:c>
      <x:c r="M116" s="5">
        <x:f t="shared" si="16"/>
        <x:v>165000</x:v>
      </x:c>
      <x:c r="N116" s="6"/>
    </x:row>
    <x:row r="117" spans="1:14" ht="20.100000000000001" customHeight="1">
      <x:c r="A117" s="299"/>
      <x:c r="B117" s="3" t="s">
        <x:v>919</x:v>
      </x:c>
      <x:c r="C117" s="3" t="s">
        <x:v>914</x:v>
      </x:c>
      <x:c r="D117" s="4"/>
      <x:c r="E117" s="4"/>
      <x:c r="F117" s="5">
        <x:f t="shared" si="17"/>
        <x:v>0</x:v>
      </x:c>
      <x:c r="G117" s="6"/>
      <x:c r="H117" s="299"/>
      <x:c r="I117" s="3" t="s">
        <x:v>951</x:v>
      </x:c>
      <x:c r="J117" s="3" t="s">
        <x:v>958</x:v>
      </x:c>
      <x:c r="K117" s="4">
        <x:v>1802100</x:v>
      </x:c>
      <x:c r="L117" s="4"/>
      <x:c r="M117" s="5">
        <x:f t="shared" si="16"/>
        <x:v>1802100</x:v>
      </x:c>
      <x:c r="N117" s="6"/>
    </x:row>
    <x:row r="118" spans="1:14" ht="20.100000000000001" customHeight="1">
      <x:c r="A118" s="299"/>
      <x:c r="B118" s="3" t="s">
        <x:v>951</x:v>
      </x:c>
      <x:c r="C118" s="3" t="s">
        <x:v>958</x:v>
      </x:c>
      <x:c r="D118" s="4">
        <x:v>1828200</x:v>
      </x:c>
      <x:c r="E118" s="4"/>
      <x:c r="F118" s="5">
        <x:f>+D118+E118</x:f>
        <x:v>1828200</x:v>
      </x:c>
      <x:c r="G118" s="6"/>
      <x:c r="H118" s="299"/>
      <x:c r="I118" s="3"/>
      <x:c r="J118" s="3"/>
      <x:c r="K118" s="4"/>
      <x:c r="L118" s="4"/>
      <x:c r="M118" s="5">
        <x:f t="shared" si="16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>+D119+E119</x:f>
        <x:v>0</x:v>
      </x:c>
      <x:c r="G119" s="6"/>
      <x:c r="H119" s="299"/>
      <x:c r="I119" s="3"/>
      <x:c r="J119" s="3"/>
      <x:c r="K119" s="4"/>
      <x:c r="L119" s="4"/>
      <x:c r="M119" s="5">
        <x:f t="shared" si="16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7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7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2831200</x:v>
      </x:c>
      <x:c r="E122" s="9">
        <x:f>SUM(E112:E121)</x:f>
        <x:v>88400</x:v>
      </x:c>
      <x:c r="F122" s="10">
        <x:f>SUM(F112:F121)</x:f>
        <x:v>2919600</x:v>
      </x:c>
      <x:c r="G122" s="11"/>
      <x:c r="H122" s="7"/>
      <x:c r="I122" s="8"/>
      <x:c r="J122" s="8"/>
      <x:c r="K122" s="9">
        <x:f>SUM(K112:K121)</x:f>
        <x:v>3022050</x:v>
      </x:c>
      <x:c r="L122" s="9">
        <x:f>SUM(L112:L121)</x:f>
        <x:v>55400</x:v>
      </x:c>
      <x:c r="M122" s="10">
        <x:f>SUM(M112:M121)</x:f>
        <x:v>3077450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18299516</x:v>
      </x:c>
      <x:c r="E123" s="14">
        <x:f>+E101+E106+E111+E122</x:f>
        <x:v>804230</x:v>
      </x:c>
      <x:c r="F123" s="15">
        <x:f>+F101+F106+F111+F122</x:f>
        <x:v>19103746</x:v>
      </x:c>
      <x:c r="G123" s="16"/>
      <x:c r="H123" s="12"/>
      <x:c r="I123" s="13"/>
      <x:c r="J123" s="13"/>
      <x:c r="K123" s="14">
        <x:f>+K101+K106+K111+K122</x:f>
        <x:v>14299050</x:v>
      </x:c>
      <x:c r="L123" s="14">
        <x:f>+L101+L106+L111+L122</x:f>
        <x:v>65600</x:v>
      </x:c>
      <x:c r="M123" s="15">
        <x:f>+M101+M106+M111+M122</x:f>
        <x:v>14364650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-18299516</x:v>
      </x:c>
      <x:c r="E124" s="25">
        <x:f>+E85-E123</x:f>
        <x:v>-804230</x:v>
      </x:c>
      <x:c r="F124" s="26">
        <x:f>+F85-F123</x:f>
        <x:v>-19103746</x:v>
      </x:c>
      <x:c r="G124" s="27"/>
      <x:c r="H124" s="23"/>
      <x:c r="I124" s="24"/>
      <x:c r="J124" s="24"/>
      <x:c r="K124" s="25">
        <x:f>+K85-K123</x:f>
        <x:v>570780</x:v>
      </x:c>
      <x:c r="L124" s="25">
        <x:f>+L85-L123</x:f>
        <x:v>64570</x:v>
      </x:c>
      <x:c r="M124" s="26">
        <x:f>+M85-M123</x:f>
        <x:v>635350</x:v>
      </x:c>
      <x:c r="N124" s="27"/>
    </x:row>
    <x:row r="127" spans="1:13">
      <x:c r="A127" s="1" t="s">
        <x:v>148</x:v>
      </x:c>
      <x:c r="D127" s="2">
        <x:f>+D15+D59+D101</x:f>
        <x:v>10219266</x:v>
      </x:c>
      <x:c r="E127" s="2">
        <x:f>+E15+E59+E101</x:f>
        <x:v>1021925</x:v>
      </x:c>
      <x:c r="F127" s="2">
        <x:f>+F15+F59+F101</x:f>
        <x:v>11241191</x:v>
      </x:c>
      <x:c r="K127" s="2">
        <x:f>+K15+K59+K101</x:f>
        <x:v>55458260</x:v>
      </x:c>
      <x:c r="L127" s="2">
        <x:f>+L15+L59+L101</x:f>
        <x:v>5545826</x:v>
      </x:c>
      <x:c r="M127" s="2">
        <x:f>+M15+M59+M101</x:f>
        <x:v>61004086</x:v>
      </x:c>
    </x:row>
    <x:row r="128" spans="1:13">
      <x:c r="A128" s="1" t="s">
        <x:v>153</x:v>
      </x:c>
      <x:c r="D128" s="2">
        <x:f>+D22+D64+D106</x:f>
        <x:v>36003590</x:v>
      </x:c>
      <x:c r="E128" s="2">
        <x:f>+E22+E64+E106</x:f>
        <x:v>407210</x:v>
      </x:c>
      <x:c r="F128" s="2">
        <x:f>+F22+F64+F106</x:f>
        <x:v>36410800</x:v>
      </x:c>
      <x:c r="K128" s="2">
        <x:f>+K22+K64+K106</x:f>
        <x:v>105372000</x:v>
      </x:c>
      <x:c r="L128" s="2">
        <x:f>+L22+L64+L106</x:f>
        <x:v>3275200</x:v>
      </x:c>
      <x:c r="M128" s="2">
        <x:f>+M22+M64+M106</x:f>
        <x:v>108647200</x:v>
      </x:c>
    </x:row>
    <x:row r="129" spans="1:13">
      <x:c r="A129" s="1" t="s">
        <x:v>187</x:v>
      </x:c>
      <x:c r="D129" s="2">
        <x:f>+D27+D69+D111</x:f>
        <x:v>0</x:v>
      </x:c>
      <x:c r="E129" s="2">
        <x:f>+E27+E69+E111</x:f>
        <x:v>0</x:v>
      </x:c>
      <x:c r="F129" s="2">
        <x:f>+F27+F69+F111</x:f>
        <x:v>0</x:v>
      </x:c>
      <x:c r="K129" s="2">
        <x:f>+K27+K69+K111</x:f>
        <x:v>120000</x:v>
      </x:c>
      <x:c r="L129" s="2">
        <x:f>+L27+L69+L111</x:f>
        <x:v>12000</x:v>
      </x:c>
      <x:c r="M129" s="2">
        <x:f>+M27+M69+M111</x:f>
        <x:v>132000</x:v>
      </x:c>
    </x:row>
    <x:row r="130" spans="1:13">
      <x:c r="A130" s="1" t="s">
        <x:v>149</x:v>
      </x:c>
      <x:c r="D130" s="2">
        <x:f>+D38+D80+D122</x:f>
        <x:v>5957900</x:v>
      </x:c>
      <x:c r="E130" s="2">
        <x:f>+E38+E80+E122</x:f>
        <x:v>159400</x:v>
      </x:c>
      <x:c r="F130" s="2">
        <x:f>+F38+F80+F122</x:f>
        <x:v>6117300</x:v>
      </x:c>
      <x:c r="K130" s="2">
        <x:f>+K38+K80+K122</x:f>
        <x:v>11024406</x:v>
      </x:c>
      <x:c r="L130" s="2">
        <x:f>+L38+L80+L122</x:f>
        <x:v>459354</x:v>
      </x:c>
      <x:c r="M130" s="2">
        <x:f>+M38+M80+M122</x:f>
        <x:v>11483760</x:v>
      </x:c>
    </x:row>
    <x:row r="131" spans="1:13">
      <x:c r="A131" s="1" t="s">
        <x:v>202</x:v>
      </x:c>
      <x:c r="D131" s="2">
        <x:f>SUM(D127:D130)</x:f>
        <x:v>52180756</x:v>
      </x:c>
      <x:c r="E131" s="2">
        <x:f>SUM(E127:E130)</x:f>
        <x:v>1588535</x:v>
      </x:c>
      <x:c r="F131" s="2">
        <x:f>SUM(F127:F130)</x:f>
        <x:v>53769291</x:v>
      </x:c>
      <x:c r="K131" s="2">
        <x:f>SUM(K127:K130)</x:f>
        <x:v>171974666</x:v>
      </x:c>
      <x:c r="L131" s="2">
        <x:f>SUM(L127:L130)</x:f>
        <x:v>9292380</x:v>
      </x:c>
      <x:c r="M131" s="2">
        <x:f>SUM(M127:M130)</x:f>
        <x:v>181267046</x:v>
      </x:c>
    </x:row>
    <x:row r="134" spans="1:6">
      <x:c r="A134" s="1" t="s">
        <x:v>148</x:v>
      </x:c>
      <x:c r="D134" s="2">
        <x:f>+D127+K127</x:f>
        <x:v>65677526</x:v>
      </x:c>
      <x:c r="E134" s="2">
        <x:f>+E127+L127</x:f>
        <x:v>6567751</x:v>
      </x:c>
      <x:c r="F134" s="2">
        <x:f>+F127+M127</x:f>
        <x:v>72245277</x:v>
      </x:c>
    </x:row>
    <x:row r="135" spans="1:6">
      <x:c r="A135" s="1" t="s">
        <x:v>153</x:v>
      </x:c>
      <x:c r="D135" s="2">
        <x:f t="shared" ref="D135:F137" si="18">+D128+K128</x:f>
        <x:v>141375590</x:v>
      </x:c>
      <x:c r="E135" s="2">
        <x:f t="shared" si="18"/>
        <x:v>3682410</x:v>
      </x:c>
      <x:c r="F135" s="2">
        <x:f t="shared" si="18"/>
        <x:v>145058000</x:v>
      </x:c>
    </x:row>
    <x:row r="136" spans="1:6">
      <x:c r="A136" s="1" t="s">
        <x:v>187</x:v>
      </x:c>
      <x:c r="D136" s="2">
        <x:f t="shared" si="18"/>
        <x:v>120000</x:v>
      </x:c>
      <x:c r="E136" s="2">
        <x:f t="shared" si="18"/>
        <x:v>12000</x:v>
      </x:c>
      <x:c r="F136" s="2">
        <x:f t="shared" si="18"/>
        <x:v>132000</x:v>
      </x:c>
    </x:row>
    <x:row r="137" spans="1:6">
      <x:c r="A137" s="1" t="s">
        <x:v>149</x:v>
      </x:c>
      <x:c r="D137" s="2">
        <x:f t="shared" si="18"/>
        <x:v>16982306</x:v>
      </x:c>
      <x:c r="E137" s="2">
        <x:f t="shared" si="18"/>
        <x:v>618754</x:v>
      </x:c>
      <x:c r="F137" s="2">
        <x:f t="shared" si="18"/>
        <x:v>17601060</x:v>
      </x:c>
    </x:row>
    <x:row r="138" spans="1:6">
      <x:c r="A138" s="1" t="s">
        <x:v>1019</x:v>
      </x:c>
      <x:c r="D138" s="2">
        <x:f>SUM(D134:D137)</x:f>
        <x:v>224155422</x:v>
      </x:c>
      <x:c r="E138" s="2">
        <x:f>SUM(E134:E137)</x:f>
        <x:v>10880915</x:v>
      </x:c>
      <x:c r="F138" s="2">
        <x:f>SUM(F134:F137)</x:f>
        <x:v>235036337</x:v>
      </x:c>
    </x:row>
    <x:row r="139" spans="1:6">
      <x:c r="A139" s="1" t="s">
        <x:v>151</x:v>
      </x:c>
      <x:c r="D139" s="2">
        <x:f>D4+D43+D85+K4+K43+K85</x:f>
        <x:v>406031346</x:v>
      </x:c>
      <x:c r="E139" s="2">
        <x:f>E4+E43+E85+L4+L43+L85</x:f>
        <x:v>9429074</x:v>
      </x:c>
      <x:c r="F139" s="2">
        <x:f>F4+F43+F85+M4+M43+M85</x:f>
        <x:v>415460420</x:v>
      </x:c>
    </x:row>
    <x:row r="140" spans="1:6">
      <x:c r="A140" s="1" t="s">
        <x:v>632</x:v>
      </x:c>
      <x:c r="D140" s="2">
        <x:f>+D139-D138</x:f>
        <x:v>181875924</x:v>
      </x:c>
      <x:c r="E140" s="2">
        <x:f>+E139-E138</x:f>
        <x:v>-1451841</x:v>
      </x:c>
      <x:c r="F140" s="2">
        <x:f>+F139-F138</x:f>
        <x:v>180424083</x:v>
      </x:c>
    </x:row>
  </x:sheetData>
  <x:mergeCells count="31"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6:A21"/>
    <x:mergeCell ref="H16:H21"/>
    <x:mergeCell ref="A1:N1"/>
    <x:mergeCell ref="A2:G2"/>
    <x:mergeCell ref="H2:N2"/>
    <x:mergeCell ref="A5:A14"/>
    <x:mergeCell ref="H5:H1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R11"/>
  <x:sheetViews>
    <x:sheetView view="pageBreakPreview" topLeftCell="A1" zoomScaleNormal="100" zoomScaleSheetLayoutView="100" workbookViewId="0">
      <x:selection activeCell="J11" activeCellId="0" sqref="J11:J1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1723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81"/>
      <x:c r="C2" s="81"/>
      <x:c r="D2" s="81"/>
      <x:c r="E2" s="81"/>
      <x:c r="F2" s="81"/>
      <x:c r="G2" s="81"/>
      <x:c r="H2" s="81"/>
      <x:c r="I2" s="81"/>
      <x:c r="J2" s="81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83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0" t="s">
        <x:v>638</x:v>
      </x:c>
      <x:c r="C5" s="61" t="s">
        <x:v>635</x:v>
      </x:c>
      <x:c r="D5" s="74">
        <x:f>'19년10월(세부내역)'!D4</x:f>
        <x:v>0</x:v>
      </x:c>
      <x:c r="E5" s="67">
        <x:f>'19년10월(세부내역)'!D15</x:f>
        <x:v>84960</x:v>
      </x:c>
      <x:c r="F5" s="67">
        <x:f>'19년10월(세부내역)'!D22</x:f>
        <x:v>14800000</x:v>
      </x:c>
      <x:c r="G5" s="67">
        <x:f>'19년10월(세부내역)'!D27</x:f>
        <x:v>0</x:v>
      </x:c>
      <x:c r="H5" s="67">
        <x:f>'19년10월(세부내역)'!D38</x:f>
        <x:v>1038260</x:v>
      </x:c>
      <x:c r="I5" s="75">
        <x:f t="shared" ref="I5:I10" si="0">+SUM(E5:H5)</x:f>
        <x:v>15923220</x:v>
      </x:c>
      <x:c r="J5" s="9">
        <x:f t="shared" ref="J5:J10" si="1">D5-I5</x:f>
        <x:v>-15923220</x:v>
      </x:c>
      <x:c r="K5" s="62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634</x:v>
      </x:c>
      <x:c r="C6" s="58" t="s">
        <x:v>901</x:v>
      </x:c>
      <x:c r="D6" s="74">
        <x:f>'19년10월(세부내역)'!K4</x:f>
        <x:v>135000000</x:v>
      </x:c>
      <x:c r="E6" s="59">
        <x:f>+'19년10월(세부내역)'!K15</x:f>
        <x:v>29202374</x:v>
      </x:c>
      <x:c r="F6" s="59">
        <x:f>'19년10월(세부내역)'!K22</x:f>
        <x:v>56933600</x:v>
      </x:c>
      <x:c r="G6" s="59">
        <x:f>'19년10월(세부내역)'!K27</x:f>
        <x:v>920000</x:v>
      </x:c>
      <x:c r="H6" s="59">
        <x:f>'19년10월(세부내역)'!K38</x:f>
        <x:v>5023346</x:v>
      </x:c>
      <x:c r="I6" s="75">
        <x:f t="shared" si="0"/>
        <x:v>92079320</x:v>
      </x:c>
      <x:c r="J6" s="9">
        <x:f t="shared" si="1"/>
        <x:v>42920680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'19년10월(세부내역)'!D43</x:f>
        <x:v>7449192</x:v>
      </x:c>
      <x:c r="E7" s="59">
        <x:f>+'19년10월(세부내역)'!D59</x:f>
        <x:v>5217950</x:v>
      </x:c>
      <x:c r="F7" s="59">
        <x:f>'19년10월(세부내역)'!D64</x:f>
        <x:v>8170000</x:v>
      </x:c>
      <x:c r="G7" s="59">
        <x:f>'19년10월(세부내역)'!D69</x:f>
        <x:v>0</x:v>
      </x:c>
      <x:c r="H7" s="59">
        <x:f>'19년10월(세부내역)'!D80</x:f>
        <x:v>862200</x:v>
      </x:c>
      <x:c r="I7" s="75">
        <x:f t="shared" si="0"/>
        <x:v>14250150</x:v>
      </x:c>
      <x:c r="J7" s="80">
        <x:f t="shared" si="1"/>
        <x:v>-6800958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'19년10월(세부내역)'!K43</x:f>
        <x:v>47800000</x:v>
      </x:c>
      <x:c r="E8" s="59">
        <x:f>'19년10월(세부내역)'!K59</x:f>
        <x:v>13242566</x:v>
      </x:c>
      <x:c r="F8" s="59">
        <x:f>'19년10월(세부내역)'!K64</x:f>
        <x:v>34835000</x:v>
      </x:c>
      <x:c r="G8" s="59">
        <x:f>'19년10월(세부내역)'!K69</x:f>
        <x:v>0</x:v>
      </x:c>
      <x:c r="H8" s="59">
        <x:f>'19년10월(세부내역)'!K80</x:f>
        <x:v>2768560</x:v>
      </x:c>
      <x:c r="I8" s="75">
        <x:f t="shared" si="0"/>
        <x:v>50846126</x:v>
      </x:c>
      <x:c r="J8" s="9">
        <x:f t="shared" si="1"/>
        <x:v>-3046126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'19년10월(세부내역)'!D85</x:f>
        <x:v>18800136</x:v>
      </x:c>
      <x:c r="E9" s="59">
        <x:f>'19년10월(세부내역)'!D101</x:f>
        <x:v>5321600</x:v>
      </x:c>
      <x:c r="F9" s="59">
        <x:f>'19년10월(세부내역)'!D106</x:f>
        <x:v>14320000</x:v>
      </x:c>
      <x:c r="G9" s="59">
        <x:f>'19년10월(세부내역)'!D111</x:f>
        <x:v>0</x:v>
      </x:c>
      <x:c r="H9" s="59">
        <x:f>'19년10월(세부내역)'!D122</x:f>
        <x:v>2022730</x:v>
      </x:c>
      <x:c r="I9" s="75">
        <x:f t="shared" si="0"/>
        <x:v>21664330</x:v>
      </x:c>
      <x:c r="J9" s="9">
        <x:f t="shared" si="1"/>
        <x:v>-2864194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'19년10월(세부내역)'!K85</x:f>
        <x:v>11895864</x:v>
      </x:c>
      <x:c r="E10" s="59">
        <x:f>'19년10월(세부내역)'!K101</x:f>
        <x:v>8281240</x:v>
      </x:c>
      <x:c r="F10" s="59">
        <x:f>'19년10월(세부내역)'!K106</x:f>
        <x:v>13490000</x:v>
      </x:c>
      <x:c r="G10" s="59">
        <x:f>'19년10월(세부내역)'!K111</x:f>
        <x:v>0</x:v>
      </x:c>
      <x:c r="H10" s="59">
        <x:f>'19년10월(세부내역)'!K122</x:f>
        <x:v>1417000</x:v>
      </x:c>
      <x:c r="I10" s="75">
        <x:f t="shared" si="0"/>
        <x:v>23188240</x:v>
      </x:c>
      <x:c r="J10" s="9">
        <x:f t="shared" si="1"/>
        <x:v>-11292376</x:v>
      </x:c>
      <x:c r="K10" s="59"/>
    </x:row>
    <x:row r="11" spans="1:11" ht="30" customHeight="1">
      <x:c r="A11" s="64"/>
      <x:c r="B11" s="64" t="s">
        <x:v>1690</x:v>
      </x:c>
      <x:c r="C11" s="65"/>
      <x:c r="D11" s="68">
        <x:f>SUM(D5:D10)</x:f>
        <x:v>220945192</x:v>
      </x:c>
      <x:c r="E11" s="66">
        <x:f t="shared" ref="E11:J11" si="2">SUM(E5:E10)</x:f>
        <x:v>61350690</x:v>
      </x:c>
      <x:c r="F11" s="66">
        <x:f t="shared" si="2"/>
        <x:v>142548600</x:v>
      </x:c>
      <x:c r="G11" s="66">
        <x:f t="shared" si="2"/>
        <x:v>920000</x:v>
      </x:c>
      <x:c r="H11" s="66">
        <x:f t="shared" si="2"/>
        <x:v>13132096</x:v>
      </x:c>
      <x:c r="I11" s="69">
        <x:f t="shared" si="2"/>
        <x:v>217951386</x:v>
      </x:c>
      <x:c r="J11" s="66">
        <x:f t="shared" si="2"/>
        <x:v>2993806</x:v>
      </x:c>
      <x:c r="K11" s="66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N140"/>
  <x:sheetViews>
    <x:sheetView view="pageBreakPreview" topLeftCell="A118" zoomScaleNormal="100" zoomScaleSheetLayoutView="100" workbookViewId="0">
      <x:selection activeCell="E8" activeCellId="0" sqref="E8:E8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83" t="s">
        <x:v>144</x:v>
      </x:c>
      <x:c r="C3" s="83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83" t="s">
        <x:v>144</x:v>
      </x:c>
      <x:c r="J3" s="83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82" t="s">
        <x:v>151</x:v>
      </x:c>
      <x:c r="B4" s="38" t="s">
        <x:v>1679</x:v>
      </x:c>
      <x:c r="C4" s="38" t="s">
        <x:v>1678</x:v>
      </x:c>
      <x:c r="D4" s="39"/>
      <x:c r="E4" s="39"/>
      <x:c r="F4" s="40">
        <x:f>+D4+E4</x:f>
        <x:v>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135000000</x:v>
      </x:c>
      <x:c r="L4" s="39"/>
      <x:c r="M4" s="40">
        <x:f>+K4+L4</x:f>
        <x:v>135000000</x:v>
      </x:c>
      <x:c r="N4" s="42"/>
    </x:row>
    <x:row r="5" spans="1:14" ht="20.100000000000001" customHeight="1">
      <x:c r="A5" s="298" t="s">
        <x:v>148</x:v>
      </x:c>
      <x:c r="B5" s="54" t="s">
        <x:v>864</x:v>
      </x:c>
      <x:c r="C5" s="54" t="s">
        <x:v>1051</x:v>
      </x:c>
      <x:c r="D5" s="20">
        <x:v>84960</x:v>
      </x:c>
      <x:c r="E5" s="20">
        <x:f>+D5*0.1</x:f>
        <x:v>8496</x:v>
      </x:c>
      <x:c r="F5" s="21">
        <x:f>+D5+E5</x:f>
        <x:v>93456</x:v>
      </x:c>
      <x:c r="G5" s="22"/>
      <x:c r="H5" s="298" t="s">
        <x:v>148</x:v>
      </x:c>
      <x:c r="I5" s="19" t="s">
        <x:v>838</x:v>
      </x:c>
      <x:c r="J5" s="19" t="s">
        <x:v>644</x:v>
      </x:c>
      <x:c r="K5" s="20">
        <x:v>1822234</x:v>
      </x:c>
      <x:c r="L5" s="20">
        <x:f t="shared" ref="L5:L10" si="0">K5*0.1</x:f>
        <x:v>182223.40000000002</x:v>
      </x:c>
      <x:c r="M5" s="21">
        <x:f t="shared" ref="M5:M21" si="1">+K5+L5</x:f>
        <x:v>2004457.3999999999</x:v>
      </x:c>
      <x:c r="N5" s="22"/>
    </x:row>
    <x:row r="6" spans="1:14" ht="20.100000000000001" customHeight="1">
      <x:c r="A6" s="299"/>
      <x:c r="B6" s="3"/>
      <x:c r="C6" s="3"/>
      <x:c r="D6" s="4"/>
      <x:c r="E6" s="4"/>
      <x:c r="F6" s="5">
        <x:f>+D6+E6</x:f>
        <x:v>0</x:v>
      </x:c>
      <x:c r="G6" s="6"/>
      <x:c r="H6" s="299"/>
      <x:c r="I6" s="3" t="s">
        <x:v>867</x:v>
      </x:c>
      <x:c r="J6" s="3" t="s">
        <x:v>356</x:v>
      </x:c>
      <x:c r="K6" s="4">
        <x:v>19854600</x:v>
      </x:c>
      <x:c r="L6" s="4">
        <x:f t="shared" si="0"/>
        <x:v>1985460</x:v>
      </x:c>
      <x:c r="M6" s="5">
        <x:f t="shared" si="1"/>
        <x:v>21840060</x:v>
      </x:c>
      <x:c r="N6" s="6"/>
    </x:row>
    <x:row r="7" spans="1:14" ht="20.100000000000001" customHeight="1">
      <x:c r="A7" s="299"/>
      <x:c r="B7" s="3"/>
      <x:c r="C7" s="3"/>
      <x:c r="D7" s="4"/>
      <x:c r="E7" s="4"/>
      <x:c r="F7" s="5">
        <x:f>+D7+E7</x:f>
        <x:v>0</x:v>
      </x:c>
      <x:c r="G7" s="6"/>
      <x:c r="H7" s="299"/>
      <x:c r="I7" s="3" t="s">
        <x:v>34</x:v>
      </x:c>
      <x:c r="J7" s="3" t="s">
        <x:v>650</x:v>
      </x:c>
      <x:c r="K7" s="4">
        <x:v>3906240</x:v>
      </x:c>
      <x:c r="L7" s="4">
        <x:f t="shared" si="0"/>
        <x:v>390624</x:v>
      </x:c>
      <x:c r="M7" s="5">
        <x:f t="shared" si="1"/>
        <x:v>4296864</x:v>
      </x:c>
      <x:c r="N7" s="6"/>
    </x:row>
    <x:row r="8" spans="1:14" ht="20.100000000000001" customHeight="1">
      <x:c r="A8" s="299"/>
      <x:c r="B8" s="3"/>
      <x:c r="C8" s="3"/>
      <x:c r="D8" s="4"/>
      <x:c r="E8" s="4"/>
      <x:c r="F8" s="5">
        <x:f t="shared" ref="F8:F14" si="2">+D8+E8</x:f>
        <x:v>0</x:v>
      </x:c>
      <x:c r="G8" s="6"/>
      <x:c r="H8" s="299"/>
      <x:c r="I8" s="3" t="s">
        <x:v>840</x:v>
      </x:c>
      <x:c r="J8" s="3" t="s">
        <x:v>648</x:v>
      </x:c>
      <x:c r="K8" s="4">
        <x:v>1651500</x:v>
      </x:c>
      <x:c r="L8" s="4">
        <x:f t="shared" si="0"/>
        <x:v>165150</x:v>
      </x:c>
      <x:c r="M8" s="5">
        <x:f t="shared" si="1"/>
        <x:v>1816650</x:v>
      </x:c>
      <x:c r="N8" s="6"/>
    </x:row>
    <x:row r="9" spans="1:14" ht="20.100000000000001" customHeight="1">
      <x:c r="A9" s="299"/>
      <x:c r="B9" s="3"/>
      <x:c r="C9" s="3"/>
      <x:c r="D9" s="4"/>
      <x:c r="E9" s="4"/>
      <x:c r="F9" s="5">
        <x:f t="shared" si="2"/>
        <x:v>0</x:v>
      </x:c>
      <x:c r="G9" s="6"/>
      <x:c r="H9" s="299"/>
      <x:c r="I9" s="3" t="s">
        <x:v>907</x:v>
      </x:c>
      <x:c r="J9" s="3" t="s">
        <x:v>894</x:v>
      </x:c>
      <x:c r="K9" s="4"/>
      <x:c r="L9" s="4">
        <x:f t="shared" si="0"/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3"/>
      <x:c r="C10" s="3"/>
      <x:c r="D10" s="4"/>
      <x:c r="E10" s="4"/>
      <x:c r="F10" s="5">
        <x:f t="shared" si="2"/>
        <x:v>0</x:v>
      </x:c>
      <x:c r="G10" s="6"/>
      <x:c r="H10" s="299"/>
      <x:c r="I10" s="3" t="s">
        <x:v>1705</x:v>
      </x:c>
      <x:c r="J10" s="3" t="s">
        <x:v>1056</x:v>
      </x:c>
      <x:c r="K10" s="4">
        <x:v>932000</x:v>
      </x:c>
      <x:c r="L10" s="4">
        <x:f t="shared" si="0"/>
        <x:v>93200</x:v>
      </x:c>
      <x:c r="M10" s="5">
        <x:f t="shared" si="1"/>
        <x:v>1025200</x:v>
      </x:c>
      <x:c r="N10" s="6"/>
    </x:row>
    <x:row r="11" spans="1:14" ht="20.100000000000001" customHeight="1">
      <x:c r="A11" s="299"/>
      <x:c r="B11" s="3"/>
      <x:c r="C11" s="3"/>
      <x:c r="D11" s="4"/>
      <x:c r="E11" s="4"/>
      <x:c r="F11" s="5">
        <x:f t="shared" si="2"/>
        <x:v>0</x:v>
      </x:c>
      <x:c r="G11" s="6"/>
      <x:c r="H11" s="299"/>
      <x:c r="I11" s="3" t="s">
        <x:v>864</x:v>
      </x:c>
      <x:c r="J11" s="3" t="s">
        <x:v>1718</x:v>
      </x:c>
      <x:c r="K11" s="4"/>
      <x:c r="L11" s="4">
        <x:f>+INT(K11*0.1)</x:f>
        <x:v>0</x:v>
      </x:c>
      <x:c r="M11" s="5">
        <x:f t="shared" si="1"/>
        <x:v>0</x:v>
      </x:c>
      <x:c r="N11" s="6"/>
    </x:row>
    <x:row r="12" spans="1:14" ht="20.100000000000001" customHeight="1">
      <x:c r="A12" s="299"/>
      <x:c r="B12" s="3"/>
      <x:c r="C12" s="3"/>
      <x:c r="D12" s="44"/>
      <x:c r="E12" s="44"/>
      <x:c r="F12" s="45">
        <x:f t="shared" si="2"/>
        <x:v>0</x:v>
      </x:c>
      <x:c r="G12" s="6"/>
      <x:c r="H12" s="299"/>
      <x:c r="I12" s="3" t="s">
        <x:v>846</x:v>
      </x:c>
      <x:c r="J12" s="3" t="s">
        <x:v>1062</x:v>
      </x:c>
      <x:c r="K12" s="4">
        <x:v>909800</x:v>
      </x:c>
      <x:c r="L12" s="4">
        <x:f>+K12*0.1</x:f>
        <x:v>90980</x:v>
      </x:c>
      <x:c r="M12" s="5">
        <x:f t="shared" si="1"/>
        <x:v>1000780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5">
        <x:f t="shared" si="2"/>
        <x:v>0</x:v>
      </x:c>
      <x:c r="G13" s="6"/>
      <x:c r="H13" s="299"/>
      <x:c r="I13" s="3" t="s">
        <x:v>846</x:v>
      </x:c>
      <x:c r="J13" s="3" t="s">
        <x:v>1005</x:v>
      </x:c>
      <x:c r="K13" s="4">
        <x:v>126000</x:v>
      </x:c>
      <x:c r="L13" s="4">
        <x:f>+K13*0.1</x:f>
        <x:v>12600</x:v>
      </x:c>
      <x:c r="M13" s="5">
        <x:f t="shared" si="1"/>
        <x:v>138600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2"/>
        <x:v>0</x:v>
      </x:c>
      <x:c r="G14" s="6"/>
      <x:c r="H14" s="300"/>
      <x:c r="I14" s="3"/>
      <x:c r="J14" s="3"/>
      <x:c r="K14" s="4"/>
      <x:c r="L14" s="4"/>
      <x:c r="M14" s="5">
        <x:f t="shared" si="1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84960</x:v>
      </x:c>
      <x:c r="E15" s="9">
        <x:f>SUM(E5:E14)</x:f>
        <x:v>8496</x:v>
      </x:c>
      <x:c r="F15" s="10">
        <x:f>SUM(F5:F14)</x:f>
        <x:v>93456</x:v>
      </x:c>
      <x:c r="G15" s="11"/>
      <x:c r="H15" s="7"/>
      <x:c r="I15" s="8"/>
      <x:c r="J15" s="8"/>
      <x:c r="K15" s="9">
        <x:f>SUM(K5:K14)</x:f>
        <x:v>29202374</x:v>
      </x:c>
      <x:c r="L15" s="9">
        <x:f>SUM(L5:L14)</x:f>
        <x:v>2920237.3999999999</x:v>
      </x:c>
      <x:c r="M15" s="10">
        <x:f>SUM(M5:M14)</x:f>
        <x:v>32122611.399999999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14800000</x:v>
      </x:c>
      <x:c r="E16" s="44"/>
      <x:c r="F16" s="45">
        <x:f t="shared" ref="F16:F21" si="3">+D16+E16</x:f>
        <x:v>14800000</x:v>
      </x:c>
      <x:c r="G16" s="37"/>
      <x:c r="H16" s="301" t="s">
        <x:v>153</x:v>
      </x:c>
      <x:c r="I16" s="3" t="s">
        <x:v>1677</x:v>
      </x:c>
      <x:c r="J16" s="3"/>
      <x:c r="K16" s="4">
        <x:v>29420000</x:v>
      </x:c>
      <x:c r="L16" s="4"/>
      <x:c r="M16" s="5">
        <x:f t="shared" si="1"/>
        <x:v>29420000</x:v>
      </x:c>
      <x:c r="N16" s="6"/>
    </x:row>
    <x:row r="17" spans="1:14" ht="20.100000000000001" customHeight="1">
      <x:c r="A17" s="299"/>
      <x:c r="B17" s="3"/>
      <x:c r="C17" s="3"/>
      <x:c r="D17" s="4"/>
      <x:c r="E17" s="4"/>
      <x:c r="F17" s="5">
        <x:f t="shared" si="3"/>
        <x:v>0</x:v>
      </x:c>
      <x:c r="G17" s="37"/>
      <x:c r="H17" s="299"/>
      <x:c r="I17" s="3" t="s">
        <x:v>999</x:v>
      </x:c>
      <x:c r="J17" s="3" t="s">
        <x:v>1002</x:v>
      </x:c>
      <x:c r="K17" s="4">
        <x:v>16192000</x:v>
      </x:c>
      <x:c r="L17" s="4">
        <x:f>+K17*0.1</x:f>
        <x:v>1619200</x:v>
      </x:c>
      <x:c r="M17" s="5">
        <x:f t="shared" si="1"/>
        <x:v>17811200</x:v>
      </x:c>
      <x:c r="N17" s="6"/>
    </x:row>
    <x:row r="18" spans="1:14" ht="20.100000000000001" customHeight="1">
      <x:c r="A18" s="299"/>
      <x:c r="B18" s="3"/>
      <x:c r="C18" s="3"/>
      <x:c r="D18" s="4"/>
      <x:c r="E18" s="4"/>
      <x:c r="F18" s="5">
        <x:f t="shared" si="3"/>
        <x:v>0</x:v>
      </x:c>
      <x:c r="G18" s="37"/>
      <x:c r="H18" s="299"/>
      <x:c r="I18" s="3" t="s">
        <x:v>1026</x:v>
      </x:c>
      <x:c r="J18" s="3" t="s">
        <x:v>1029</x:v>
      </x:c>
      <x:c r="K18" s="4">
        <x:v>11321600</x:v>
      </x:c>
      <x:c r="L18" s="4">
        <x:f>+K18*0.1</x:f>
        <x:v>1132160</x:v>
      </x:c>
      <x:c r="M18" s="5">
        <x:f t="shared" si="1"/>
        <x:v>12453760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 t="shared" si="3"/>
        <x:v>0</x:v>
      </x:c>
      <x:c r="G19" s="6"/>
      <x:c r="H19" s="299"/>
      <x:c r="I19" s="3"/>
      <x:c r="J19" s="3"/>
      <x:c r="K19" s="4"/>
      <x:c r="L19" s="4"/>
      <x:c r="M19" s="5">
        <x:f t="shared" si="1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3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3"/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14800000</x:v>
      </x:c>
      <x:c r="E22" s="9">
        <x:f>SUM(E16:E21)</x:f>
        <x:v>0</x:v>
      </x:c>
      <x:c r="F22" s="10">
        <x:f>SUM(F16:F21)</x:f>
        <x:v>14800000</x:v>
      </x:c>
      <x:c r="G22" s="11"/>
      <x:c r="H22" s="7"/>
      <x:c r="I22" s="8"/>
      <x:c r="J22" s="8"/>
      <x:c r="K22" s="9">
        <x:f>SUM(K16:K21)</x:f>
        <x:v>56933600</x:v>
      </x:c>
      <x:c r="L22" s="9">
        <x:f>SUM(L16:L21)</x:f>
        <x:v>2751360</x:v>
      </x:c>
      <x:c r="M22" s="10">
        <x:f>SUM(M16:M21)</x:f>
        <x:v>59684960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1010</x:v>
      </x:c>
      <x:c r="J23" s="3" t="s">
        <x:v>948</x:v>
      </x:c>
      <x:c r="K23" s="4">
        <x:v>180000</x:v>
      </x:c>
      <x:c r="L23" s="4">
        <x:f>+K23*0.1</x:f>
        <x:v>18000</x:v>
      </x:c>
      <x:c r="M23" s="5">
        <x:f>+K23+L23</x:f>
        <x:v>198000</x:v>
      </x:c>
      <x:c r="N23" s="6"/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857</x:v>
      </x:c>
      <x:c r="J24" s="3" t="s">
        <x:v>1006</x:v>
      </x:c>
      <x:c r="K24" s="4">
        <x:v>740000</x:v>
      </x:c>
      <x:c r="L24" s="4">
        <x:f>K24*0.1</x:f>
        <x:v>74000</x:v>
      </x:c>
      <x:c r="M24" s="5">
        <x:f>+K24+L24</x:f>
        <x:v>814000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920000</x:v>
      </x:c>
      <x:c r="L27" s="9">
        <x:f>SUM(L23:L26)</x:f>
        <x:v>92000</x:v>
      </x:c>
      <x:c r="M27" s="10">
        <x:f>SUM(M23:M26)</x:f>
        <x:v>1012000</x:v>
      </x:c>
      <x:c r="N27" s="11"/>
    </x:row>
    <x:row r="28" spans="1:14" ht="20.100000000000001" customHeight="1">
      <x:c r="A28" s="301" t="s">
        <x:v>149</x:v>
      </x:c>
      <x:c r="B28" s="3" t="s">
        <x:v>1048</x:v>
      </x:c>
      <x:c r="C28" s="3" t="s">
        <x:v>164</x:v>
      </x:c>
      <x:c r="D28" s="4">
        <x:v>500000</x:v>
      </x:c>
      <x:c r="E28" s="4"/>
      <x:c r="F28" s="5">
        <x:f>+D28+E28</x:f>
        <x:v>500000</x:v>
      </x:c>
      <x:c r="G28" s="6"/>
      <x:c r="H28" s="301" t="s">
        <x:v>149</x:v>
      </x:c>
      <x:c r="I28" s="3" t="s">
        <x:v>952</x:v>
      </x:c>
      <x:c r="J28" s="3" t="s">
        <x:v>28</x:v>
      </x:c>
      <x:c r="K28" s="4">
        <x:v>920000</x:v>
      </x:c>
      <x:c r="L28" s="4">
        <x:f>+K28*0.1</x:f>
        <x:v>92000</x:v>
      </x:c>
      <x:c r="M28" s="5">
        <x:f t="shared" ref="M28:M37" si="4">+K28+L28</x:f>
        <x:v>1012000</x:v>
      </x:c>
      <x:c r="N28" s="6"/>
    </x:row>
    <x:row r="29" spans="1:14" ht="20.100000000000001" customHeight="1">
      <x:c r="A29" s="299"/>
      <x:c r="B29" s="3" t="s">
        <x:v>174</x:v>
      </x:c>
      <x:c r="C29" s="3" t="s">
        <x:v>941</x:v>
      </x:c>
      <x:c r="D29" s="4"/>
      <x:c r="E29" s="4"/>
      <x:c r="F29" s="5">
        <x:f>+D29+E29</x:f>
        <x:v>0</x:v>
      </x:c>
      <x:c r="G29" s="6"/>
      <x:c r="H29" s="299"/>
      <x:c r="I29" s="3" t="s">
        <x:v>959</x:v>
      </x:c>
      <x:c r="J29" s="3" t="s">
        <x:v>825</x:v>
      </x:c>
      <x:c r="K29" s="4">
        <x:v>1165000</x:v>
      </x:c>
      <x:c r="L29" s="4">
        <x:f>+K29*0.1</x:f>
        <x:v>116500</x:v>
      </x:c>
      <x:c r="M29" s="5">
        <x:f t="shared" si="4"/>
        <x:v>1281500</x:v>
      </x:c>
      <x:c r="N29" s="6"/>
    </x:row>
    <x:row r="30" spans="1:14" ht="20.100000000000001" customHeight="1">
      <x:c r="A30" s="299"/>
      <x:c r="B30" s="3" t="s">
        <x:v>947</x:v>
      </x:c>
      <x:c r="C30" s="3" t="s">
        <x:v>914</x:v>
      </x:c>
      <x:c r="D30" s="4"/>
      <x:c r="E30" s="4">
        <x:f>+D30*0.1</x:f>
        <x:v>0</x:v>
      </x:c>
      <x:c r="F30" s="5">
        <x:f>+D30+E30</x:f>
        <x:v>0</x:v>
      </x:c>
      <x:c r="G30" s="6"/>
      <x:c r="H30" s="299"/>
      <x:c r="I30" s="3" t="s">
        <x:v>186</x:v>
      </x:c>
      <x:c r="J30" s="3" t="s">
        <x:v>941</x:v>
      </x:c>
      <x:c r="K30" s="4">
        <x:v>550000</x:v>
      </x:c>
      <x:c r="L30" s="4"/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828</x:v>
      </x:c>
      <x:c r="C31" s="3" t="s">
        <x:v>167</x:v>
      </x:c>
      <x:c r="D31" s="4"/>
      <x:c r="E31" s="4">
        <x:f>+D31*0.1</x:f>
        <x:v>0</x:v>
      </x:c>
      <x:c r="F31" s="5">
        <x:f>+D31+E31</x:f>
        <x:v>0</x:v>
      </x:c>
      <x:c r="G31" s="6"/>
      <x:c r="H31" s="299"/>
      <x:c r="I31" s="3" t="s">
        <x:v>923</x:v>
      </x:c>
      <x:c r="J31" s="3" t="s">
        <x:v>896</x:v>
      </x:c>
      <x:c r="K31" s="4">
        <x:v>300000</x:v>
      </x:c>
      <x:c r="L31" s="4">
        <x:f>K31*0.1</x:f>
        <x:v>30000</x:v>
      </x:c>
      <x:c r="M31" s="5">
        <x:f t="shared" si="4"/>
        <x:v>330000</x:v>
      </x:c>
      <x:c r="N31" s="6"/>
    </x:row>
    <x:row r="32" spans="1:14" ht="20.100000000000001" customHeight="1">
      <x:c r="A32" s="299"/>
      <x:c r="B32" s="3" t="s">
        <x:v>169</x:v>
      </x:c>
      <x:c r="C32" s="3" t="s">
        <x:v>837</x:v>
      </x:c>
      <x:c r="D32" s="4">
        <x:v>538260</x:v>
      </x:c>
      <x:c r="E32" s="4"/>
      <x:c r="F32" s="5">
        <x:f t="shared" ref="F32:F37" si="5">+D32+E32</x:f>
        <x:v>538260</x:v>
      </x:c>
      <x:c r="G32" s="6"/>
      <x:c r="H32" s="299"/>
      <x:c r="I32" s="3" t="s">
        <x:v>1680</x:v>
      </x:c>
      <x:c r="J32" s="3" t="s">
        <x:v>1695</x:v>
      </x:c>
      <x:c r="K32" s="4">
        <x:v>130000</x:v>
      </x:c>
      <x:c r="L32" s="4">
        <x:f>K32*0.1</x:f>
        <x:v>13000</x:v>
      </x:c>
      <x:c r="M32" s="5">
        <x:f t="shared" si="4"/>
        <x:v>143000</x:v>
      </x:c>
      <x:c r="N32" s="6"/>
    </x:row>
    <x:row r="33" spans="1:14" ht="20.100000000000001" customHeight="1">
      <x:c r="A33" s="299"/>
      <x:c r="B33" s="3"/>
      <x:c r="C33" s="3"/>
      <x:c r="D33" s="44"/>
      <x:c r="E33" s="44"/>
      <x:c r="F33" s="45">
        <x:f t="shared" si="5"/>
        <x:v>0</x:v>
      </x:c>
      <x:c r="G33" s="6"/>
      <x:c r="H33" s="299"/>
      <x:c r="I33" s="3" t="s">
        <x:v>185</x:v>
      </x:c>
      <x:c r="J33" s="3" t="s">
        <x:v>149</x:v>
      </x:c>
      <x:c r="K33" s="4">
        <x:v>1060800</x:v>
      </x:c>
      <x:c r="L33" s="4">
        <x:v>7000</x:v>
      </x:c>
      <x:c r="M33" s="5">
        <x:f t="shared" si="4"/>
        <x:v>1067800</x:v>
      </x:c>
      <x:c r="N33" s="6"/>
    </x:row>
    <x:row r="34" spans="1:14" ht="20.100000000000001" customHeight="1">
      <x:c r="A34" s="299"/>
      <x:c r="B34" s="3"/>
      <x:c r="C34" s="3"/>
      <x:c r="D34" s="4"/>
      <x:c r="E34" s="4"/>
      <x:c r="F34" s="5">
        <x:f t="shared" si="5"/>
        <x:v>0</x:v>
      </x:c>
      <x:c r="G34" s="6"/>
      <x:c r="H34" s="299"/>
      <x:c r="I34" s="3" t="s">
        <x:v>1699</x:v>
      </x:c>
      <x:c r="J34" s="3" t="s">
        <x:v>167</x:v>
      </x:c>
      <x:c r="K34" s="4">
        <x:v>70000</x:v>
      </x:c>
      <x:c r="L34" s="4">
        <x:f>K34*0.1</x:f>
        <x:v>7000</x:v>
      </x:c>
      <x:c r="M34" s="5">
        <x:f t="shared" si="4"/>
        <x:v>77000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5"/>
        <x:v>0</x:v>
      </x:c>
      <x:c r="G35" s="6"/>
      <x:c r="H35" s="299"/>
      <x:c r="I35" s="3" t="s">
        <x:v>994</x:v>
      </x:c>
      <x:c r="J35" s="3" t="s">
        <x:v>8</x:v>
      </x:c>
      <x:c r="K35" s="4">
        <x:v>424546</x:v>
      </x:c>
      <x:c r="L35" s="4">
        <x:v>42454</x:v>
      </x:c>
      <x:c r="M35" s="5">
        <x:f t="shared" si="4"/>
        <x:v>467000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 t="s">
        <x:v>973</x:v>
      </x:c>
      <x:c r="J36" s="3" t="s">
        <x:v>1054</x:v>
      </x:c>
      <x:c r="K36" s="4">
        <x:v>403000</x:v>
      </x:c>
      <x:c r="L36" s="4">
        <x:f>+K36*0.1</x:f>
        <x:v>40300</x:v>
      </x:c>
      <x:c r="M36" s="5">
        <x:f t="shared" si="4"/>
        <x:v>443300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1038260</x:v>
      </x:c>
      <x:c r="E38" s="9">
        <x:f>SUM(E28:E37)</x:f>
        <x:v>0</x:v>
      </x:c>
      <x:c r="F38" s="10">
        <x:f>SUM(F28:F37)</x:f>
        <x:v>1038260</x:v>
      </x:c>
      <x:c r="G38" s="11"/>
      <x:c r="H38" s="7"/>
      <x:c r="I38" s="8"/>
      <x:c r="J38" s="8"/>
      <x:c r="K38" s="9">
        <x:f>SUM(K28:K37)</x:f>
        <x:v>5023346</x:v>
      </x:c>
      <x:c r="L38" s="9">
        <x:f>SUM(L28:L37)</x:f>
        <x:v>348254</x:v>
      </x:c>
      <x:c r="M38" s="10">
        <x:f>SUM(M28:M37)</x:f>
        <x:v>5371600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15923220</x:v>
      </x:c>
      <x:c r="E39" s="14">
        <x:f>+E15+E22+E27+E38</x:f>
        <x:v>8496</x:v>
      </x:c>
      <x:c r="F39" s="15">
        <x:f>+F15+F22+F27+F38</x:f>
        <x:v>15931716</x:v>
      </x:c>
      <x:c r="G39" s="16"/>
      <x:c r="H39" s="12"/>
      <x:c r="I39" s="13"/>
      <x:c r="J39" s="13"/>
      <x:c r="K39" s="14">
        <x:f>+K15+K22+K27+K38</x:f>
        <x:v>92079320</x:v>
      </x:c>
      <x:c r="L39" s="14">
        <x:f>+L15+L22+L27+L38</x:f>
        <x:v>6111851.4000000004</x:v>
      </x:c>
      <x:c r="M39" s="15">
        <x:f>+M15+M22+M27+M38</x:f>
        <x:v>98191171.400000006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-15923220</x:v>
      </x:c>
      <x:c r="E40" s="25">
        <x:f>+E4-E39</x:f>
        <x:v>-8496</x:v>
      </x:c>
      <x:c r="F40" s="26">
        <x:f>+F4-F39</x:f>
        <x:v>-15931716</x:v>
      </x:c>
      <x:c r="G40" s="27"/>
      <x:c r="H40" s="23"/>
      <x:c r="I40" s="24"/>
      <x:c r="J40" s="24"/>
      <x:c r="K40" s="25">
        <x:f>+K4-K39</x:f>
        <x:v>42920680</x:v>
      </x:c>
      <x:c r="L40" s="25">
        <x:f>+L4-L39</x:f>
        <x:v>-6111851.4000000004</x:v>
      </x:c>
      <x:c r="M40" s="26">
        <x:f>+M4-M39</x:f>
        <x:v>36808828.599999994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83" t="s">
        <x:v>144</x:v>
      </x:c>
      <x:c r="C42" s="83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83" t="s">
        <x:v>144</x:v>
      </x:c>
      <x:c r="J42" s="83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82" t="s">
        <x:v>151</x:v>
      </x:c>
      <x:c r="B43" s="38" t="s">
        <x:v>1679</x:v>
      </x:c>
      <x:c r="C43" s="38" t="s">
        <x:v>1030</x:v>
      </x:c>
      <x:c r="D43" s="39">
        <x:v>7449192</x:v>
      </x:c>
      <x:c r="E43" s="39">
        <x:v>550808</x:v>
      </x:c>
      <x:c r="F43" s="40">
        <x:f>+D43+E43</x:f>
        <x:v>8000000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v>47800000</x:v>
      </x:c>
      <x:c r="L43" s="39">
        <x:v>540000</x:v>
      </x:c>
      <x:c r="M43" s="40">
        <x:f>+K43+L43</x:f>
        <x:v>48340000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 t="s">
        <x:v>652</x:v>
      </x:c>
      <x:c r="D44" s="20">
        <x:v>218250</x:v>
      </x:c>
      <x:c r="E44" s="20">
        <x:f t="shared" ref="E44:E49" si="6">D44*0.1</x:f>
        <x:v>21825</x:v>
      </x:c>
      <x:c r="F44" s="21">
        <x:f>+D44+E44</x:f>
        <x:v>240075</x:v>
      </x:c>
      <x:c r="G44" s="22"/>
      <x:c r="H44" s="298" t="s">
        <x:v>148</x:v>
      </x:c>
      <x:c r="I44" s="19" t="s">
        <x:v>838</x:v>
      </x:c>
      <x:c r="J44" s="19" t="s">
        <x:v>880</x:v>
      </x:c>
      <x:c r="K44" s="20">
        <x:v>758036</x:v>
      </x:c>
      <x:c r="L44" s="20">
        <x:f>K44*0.1-1</x:f>
        <x:v>75802.600000000006</x:v>
      </x:c>
      <x:c r="M44" s="21">
        <x:f t="shared" ref="M44:M58" si="7">+K44+L44</x:f>
        <x:v>833838.59999999998</x:v>
      </x:c>
      <x:c r="N44" s="22"/>
    </x:row>
    <x:row r="45" spans="1:14" ht="20.100000000000001" customHeight="1">
      <x:c r="A45" s="299"/>
      <x:c r="B45" s="3" t="s">
        <x:v>21</x:v>
      </x:c>
      <x:c r="C45" s="3" t="s">
        <x:v>616</x:v>
      </x:c>
      <x:c r="D45" s="4">
        <x:v>4268800</x:v>
      </x:c>
      <x:c r="E45" s="4">
        <x:f t="shared" si="6"/>
        <x:v>426880</x:v>
      </x:c>
      <x:c r="F45" s="5">
        <x:f>+D45+E45</x:f>
        <x:v>4695680</x:v>
      </x:c>
      <x:c r="G45" s="6"/>
      <x:c r="H45" s="299"/>
      <x:c r="I45" s="3" t="s">
        <x:v>34</x:v>
      </x:c>
      <x:c r="J45" s="3" t="s">
        <x:v>650</x:v>
      </x:c>
      <x:c r="K45" s="4">
        <x:v>615500</x:v>
      </x:c>
      <x:c r="L45" s="4">
        <x:f>+K45*0.1</x:f>
        <x:v>61550</x:v>
      </x:c>
      <x:c r="M45" s="5">
        <x:f t="shared" si="7"/>
        <x:v>677050</x:v>
      </x:c>
      <x:c r="N45" s="6"/>
    </x:row>
    <x:row r="46" spans="1:14" ht="20.100000000000001" customHeight="1">
      <x:c r="A46" s="299"/>
      <x:c r="B46" s="3" t="s">
        <x:v>34</x:v>
      </x:c>
      <x:c r="C46" s="3"/>
      <x:c r="D46" s="4"/>
      <x:c r="E46" s="4">
        <x:f t="shared" si="6"/>
        <x:v>0</x:v>
      </x:c>
      <x:c r="F46" s="5">
        <x:f>+D46+E46</x:f>
        <x:v>0</x:v>
      </x:c>
      <x:c r="G46" s="6"/>
      <x:c r="H46" s="299"/>
      <x:c r="I46" s="3" t="s">
        <x:v>21</x:v>
      </x:c>
      <x:c r="J46" s="3" t="s">
        <x:v>925</x:v>
      </x:c>
      <x:c r="K46" s="4">
        <x:v>6404000</x:v>
      </x:c>
      <x:c r="L46" s="4">
        <x:f>K46*0.1</x:f>
        <x:v>640400</x:v>
      </x:c>
      <x:c r="M46" s="5">
        <x:f t="shared" si="7"/>
        <x:v>7044400</x:v>
      </x:c>
      <x:c r="N46" s="6"/>
    </x:row>
    <x:row r="47" spans="1:14" ht="20.100000000000001" customHeight="1">
      <x:c r="A47" s="299"/>
      <x:c r="B47" s="3" t="s">
        <x:v>840</x:v>
      </x:c>
      <x:c r="C47" s="3"/>
      <x:c r="D47" s="4"/>
      <x:c r="E47" s="4">
        <x:f t="shared" si="6"/>
        <x:v>0</x:v>
      </x:c>
      <x:c r="F47" s="5">
        <x:f>+D47+E47</x:f>
        <x:v>0</x:v>
      </x:c>
      <x:c r="G47" s="6"/>
      <x:c r="H47" s="299"/>
      <x:c r="I47" s="3" t="s">
        <x:v>1705</x:v>
      </x:c>
      <x:c r="J47" s="3" t="s">
        <x:v>365</x:v>
      </x:c>
      <x:c r="K47" s="4">
        <x:v>1993140</x:v>
      </x:c>
      <x:c r="L47" s="4">
        <x:f>K47*0.1</x:f>
        <x:v>199314</x:v>
      </x:c>
      <x:c r="M47" s="5">
        <x:f t="shared" si="7"/>
        <x:v>2192454</x:v>
      </x:c>
      <x:c r="N47" s="6"/>
    </x:row>
    <x:row r="48" spans="1:14" ht="20.100000000000001" customHeight="1">
      <x:c r="A48" s="299"/>
      <x:c r="B48" s="3" t="s">
        <x:v>892</x:v>
      </x:c>
      <x:c r="C48" s="3" t="s">
        <x:v>22</x:v>
      </x:c>
      <x:c r="D48" s="4">
        <x:v>467100</x:v>
      </x:c>
      <x:c r="E48" s="4">
        <x:f t="shared" si="6"/>
        <x:v>46710</x:v>
      </x:c>
      <x:c r="F48" s="5">
        <x:f t="shared" ref="F48:F57" si="8">+D48+E48</x:f>
        <x:v>513810</x:v>
      </x:c>
      <x:c r="G48" s="6"/>
      <x:c r="H48" s="299"/>
      <x:c r="I48" s="3" t="s">
        <x:v>840</x:v>
      </x:c>
      <x:c r="J48" s="3" t="s">
        <x:v>955</x:v>
      </x:c>
      <x:c r="K48" s="4">
        <x:v>181200</x:v>
      </x:c>
      <x:c r="L48" s="4">
        <x:f>K48*0.1</x:f>
        <x:v>18120</x:v>
      </x:c>
      <x:c r="M48" s="5">
        <x:f t="shared" si="7"/>
        <x:v>199320</x:v>
      </x:c>
      <x:c r="N48" s="6"/>
    </x:row>
    <x:row r="49" spans="1:14" ht="20.100000000000001" customHeight="1">
      <x:c r="A49" s="299"/>
      <x:c r="B49" s="3" t="s">
        <x:v>846</x:v>
      </x:c>
      <x:c r="C49" s="3" t="s">
        <x:v>7</x:v>
      </x:c>
      <x:c r="D49" s="4">
        <x:v>263800</x:v>
      </x:c>
      <x:c r="E49" s="4">
        <x:f t="shared" si="6"/>
        <x:v>26380</x:v>
      </x:c>
      <x:c r="F49" s="5">
        <x:f t="shared" si="8"/>
        <x:v>290180</x:v>
      </x:c>
      <x:c r="G49" s="6"/>
      <x:c r="H49" s="299"/>
      <x:c r="I49" s="3" t="s">
        <x:v>1058</x:v>
      </x:c>
      <x:c r="J49" s="3" t="s">
        <x:v>354</x:v>
      </x:c>
      <x:c r="K49" s="4">
        <x:v>1245290</x:v>
      </x:c>
      <x:c r="L49" s="4">
        <x:f>K49*0.1</x:f>
        <x:v>124529</x:v>
      </x:c>
      <x:c r="M49" s="5">
        <x:f t="shared" si="7"/>
        <x:v>1369819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9">+INT(D50*0.1)</x:f>
        <x:v>0</x:v>
      </x:c>
      <x:c r="F50" s="5">
        <x:f t="shared" si="8"/>
        <x:v>0</x:v>
      </x:c>
      <x:c r="G50" s="6"/>
      <x:c r="H50" s="299"/>
      <x:c r="I50" s="3" t="s">
        <x:v>846</x:v>
      </x:c>
      <x:c r="J50" s="3" t="s">
        <x:v>7</x:v>
      </x:c>
      <x:c r="K50" s="4">
        <x:v>1848400</x:v>
      </x:c>
      <x:c r="L50" s="4">
        <x:f t="shared" ref="L50:L58" si="10">+K50*0.1</x:f>
        <x:v>184840</x:v>
      </x:c>
      <x:c r="M50" s="5">
        <x:f t="shared" si="7"/>
        <x:v>2033240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 t="s">
        <x:v>846</x:v>
      </x:c>
      <x:c r="J51" s="3" t="s">
        <x:v>1005</x:v>
      </x:c>
      <x:c r="K51" s="4">
        <x:v>197000</x:v>
      </x:c>
      <x:c r="L51" s="4">
        <x:f t="shared" si="10"/>
        <x:v>19700</x:v>
      </x:c>
      <x:c r="M51" s="5">
        <x:f t="shared" si="7"/>
        <x:v>216700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9"/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>
        <x:f t="shared" si="10"/>
        <x:v>0</x:v>
      </x:c>
      <x:c r="M52" s="5">
        <x:f t="shared" si="7"/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9"/>
        <x:v>0</x:v>
      </x:c>
      <x:c r="F53" s="5">
        <x:f t="shared" si="8"/>
        <x:v>0</x:v>
      </x:c>
      <x:c r="G53" s="6"/>
      <x:c r="H53" s="299"/>
      <x:c r="I53" s="3"/>
      <x:c r="J53" s="3"/>
      <x:c r="K53" s="4"/>
      <x:c r="L53" s="4">
        <x:f t="shared" si="10"/>
        <x:v>0</x:v>
      </x:c>
      <x:c r="M53" s="5">
        <x:f t="shared" si="7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9"/>
        <x:v>0</x:v>
      </x:c>
      <x:c r="F54" s="5">
        <x:f t="shared" si="8"/>
        <x:v>0</x:v>
      </x:c>
      <x:c r="G54" s="6"/>
      <x:c r="H54" s="299"/>
      <x:c r="I54" s="3"/>
      <x:c r="J54" s="3"/>
      <x:c r="K54" s="4"/>
      <x:c r="L54" s="4">
        <x:f t="shared" si="10"/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9"/>
        <x:v>0</x:v>
      </x:c>
      <x:c r="F55" s="5">
        <x:f t="shared" si="8"/>
        <x:v>0</x:v>
      </x:c>
      <x:c r="G55" s="6"/>
      <x:c r="H55" s="299"/>
      <x:c r="I55" s="3"/>
      <x:c r="J55" s="3"/>
      <x:c r="K55" s="4"/>
      <x:c r="L55" s="4">
        <x:f t="shared" si="10"/>
        <x:v>0</x:v>
      </x:c>
      <x:c r="M55" s="5">
        <x:f t="shared" si="7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9"/>
        <x:v>0</x:v>
      </x:c>
      <x:c r="F56" s="5">
        <x:f t="shared" si="8"/>
        <x:v>0</x:v>
      </x:c>
      <x:c r="G56" s="6"/>
      <x:c r="H56" s="299"/>
      <x:c r="I56" s="3"/>
      <x:c r="J56" s="3"/>
      <x:c r="K56" s="4"/>
      <x:c r="L56" s="4">
        <x:f t="shared" si="10"/>
        <x:v>0</x:v>
      </x:c>
      <x:c r="M56" s="5">
        <x:f t="shared" si="7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9"/>
        <x:v>0</x:v>
      </x:c>
      <x:c r="F57" s="5">
        <x:f t="shared" si="8"/>
        <x:v>0</x:v>
      </x:c>
      <x:c r="G57" s="6"/>
      <x:c r="H57" s="299"/>
      <x:c r="I57" s="3"/>
      <x:c r="J57" s="3"/>
      <x:c r="K57" s="4"/>
      <x:c r="L57" s="4">
        <x:f t="shared" si="10"/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 t="shared" si="10"/>
        <x:v>0</x:v>
      </x:c>
      <x:c r="M58" s="5">
        <x:f t="shared" si="7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5217950</x:v>
      </x:c>
      <x:c r="E59" s="9">
        <x:f>SUM(E44:E58)</x:f>
        <x:v>521795</x:v>
      </x:c>
      <x:c r="F59" s="10">
        <x:f>SUM(F44:F58)</x:f>
        <x:v>5739745</x:v>
      </x:c>
      <x:c r="G59" s="11"/>
      <x:c r="H59" s="7"/>
      <x:c r="I59" s="8"/>
      <x:c r="J59" s="8"/>
      <x:c r="K59" s="9">
        <x:f>SUM(K44:K58)</x:f>
        <x:v>13242566</x:v>
      </x:c>
      <x:c r="L59" s="9">
        <x:f>SUM(L44:L58)</x:f>
        <x:v>1324255.6000000001</x:v>
      </x:c>
      <x:c r="M59" s="10">
        <x:f>SUM(M44:M58)</x:f>
        <x:v>14566821.6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/>
      <x:c r="D60" s="44">
        <x:v>8170000</x:v>
      </x:c>
      <x:c r="E60" s="44"/>
      <x:c r="F60" s="45">
        <x:f>+D60+E60</x:f>
        <x:v>8170000</x:v>
      </x:c>
      <x:c r="G60" s="37"/>
      <x:c r="H60" s="301" t="s">
        <x:v>153</x:v>
      </x:c>
      <x:c r="I60" s="3" t="s">
        <x:v>1677</x:v>
      </x:c>
      <x:c r="J60" s="3"/>
      <x:c r="K60" s="4">
        <x:v>34835000</x:v>
      </x:c>
      <x:c r="L60" s="4"/>
      <x:c r="M60" s="5">
        <x:f>+K60+L60</x:f>
        <x:v>34835000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8170000</x:v>
      </x:c>
      <x:c r="E64" s="9">
        <x:f>SUM(E60:E63)</x:f>
        <x:v>0</x:v>
      </x:c>
      <x:c r="F64" s="10">
        <x:f>SUM(F60:F63)</x:f>
        <x:v>8170000</x:v>
      </x:c>
      <x:c r="G64" s="11"/>
      <x:c r="H64" s="7"/>
      <x:c r="I64" s="8"/>
      <x:c r="J64" s="8"/>
      <x:c r="K64" s="9">
        <x:f>SUM(K60:K63)</x:f>
        <x:v>34835000</x:v>
      </x:c>
      <x:c r="L64" s="9">
        <x:f>SUM(L60:L63)</x:f>
        <x:v>0</x:v>
      </x:c>
      <x:c r="M64" s="10">
        <x:f>SUM(M60:M63)</x:f>
        <x:v>34835000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1030690</x:v>
      </x:c>
      <x:c r="L70" s="4"/>
      <x:c r="M70" s="5">
        <x:f t="shared" ref="M70:M77" si="11">+K70+L70</x:f>
        <x:v>1030690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12200</x:v>
      </x:c>
      <x:c r="E71" s="4"/>
      <x:c r="F71" s="5">
        <x:f t="shared" ref="F71:F79" si="12">+D71+E71</x:f>
        <x:v>12200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1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/>
      <x:c r="E72" s="4"/>
      <x:c r="F72" s="5">
        <x:f t="shared" si="12"/>
        <x:v>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1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2"/>
        <x:v>110000</x:v>
      </x:c>
      <x:c r="G73" s="6"/>
      <x:c r="H73" s="299"/>
      <x:c r="I73" s="3" t="s">
        <x:v>945</x:v>
      </x:c>
      <x:c r="J73" s="3" t="s">
        <x:v>962</x:v>
      </x:c>
      <x:c r="K73" s="4">
        <x:v>1200000</x:v>
      </x:c>
      <x:c r="L73" s="4">
        <x:f>+K73*0.1</x:f>
        <x:v>120000</x:v>
      </x:c>
      <x:c r="M73" s="5">
        <x:f t="shared" si="11"/>
        <x:v>1320000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300000</x:v>
      </x:c>
      <x:c r="E74" s="4">
        <x:f>D74*0.1</x:f>
        <x:v>30000</x:v>
      </x:c>
      <x:c r="F74" s="5">
        <x:f t="shared" si="12"/>
        <x:v>330000</x:v>
      </x:c>
      <x:c r="G74" s="6"/>
      <x:c r="H74" s="299"/>
      <x:c r="I74" s="3" t="s">
        <x:v>1038</x:v>
      </x:c>
      <x:c r="J74" s="3" t="s">
        <x:v>167</x:v>
      </x:c>
      <x:c r="K74" s="4">
        <x:v>130000</x:v>
      </x:c>
      <x:c r="L74" s="4">
        <x:f>+K74*0.1</x:f>
        <x:v>13000</x:v>
      </x:c>
      <x:c r="M74" s="5">
        <x:f t="shared" si="11"/>
        <x:v>143000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2"/>
        <x:v>0</x:v>
      </x:c>
      <x:c r="G75" s="6"/>
      <x:c r="H75" s="299"/>
      <x:c r="I75" s="3"/>
      <x:c r="J75" s="3"/>
      <x:c r="K75" s="4"/>
      <x:c r="L75" s="4">
        <x:f>+K75*0.1</x:f>
        <x:v>0</x:v>
      </x:c>
      <x:c r="M75" s="5">
        <x:f t="shared" si="11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>
        <x:f>+D76*0.1</x:f>
        <x:v>0</x:v>
      </x:c>
      <x:c r="F76" s="5">
        <x:f t="shared" si="12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2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862200</x:v>
      </x:c>
      <x:c r="E80" s="9">
        <x:f>SUM(E70:E79)</x:f>
        <x:v>85000</x:v>
      </x:c>
      <x:c r="F80" s="10">
        <x:f>SUM(F70:F79)</x:f>
        <x:v>947200</x:v>
      </x:c>
      <x:c r="G80" s="11"/>
      <x:c r="H80" s="7"/>
      <x:c r="I80" s="8"/>
      <x:c r="J80" s="8"/>
      <x:c r="K80" s="9">
        <x:f>SUM(K70:K79)</x:f>
        <x:v>2768560</x:v>
      </x:c>
      <x:c r="L80" s="9">
        <x:f>SUM(L70:L79)</x:f>
        <x:v>137000</x:v>
      </x:c>
      <x:c r="M80" s="10">
        <x:f>SUM(M70:M79)</x:f>
        <x:v>2905560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14250150</x:v>
      </x:c>
      <x:c r="E81" s="14">
        <x:f>+E59+E64+E69+E80</x:f>
        <x:v>606795</x:v>
      </x:c>
      <x:c r="F81" s="15">
        <x:f>+F59+F64+F69+F80</x:f>
        <x:v>14856945</x:v>
      </x:c>
      <x:c r="G81" s="16"/>
      <x:c r="H81" s="12"/>
      <x:c r="I81" s="13"/>
      <x:c r="J81" s="13"/>
      <x:c r="K81" s="14">
        <x:f>+K59+K64+K69+K80</x:f>
        <x:v>50846126</x:v>
      </x:c>
      <x:c r="L81" s="14">
        <x:f>+L59+L64+L69+L80</x:f>
        <x:v>1461255.6000000001</x:v>
      </x:c>
      <x:c r="M81" s="15">
        <x:f>+M59+M64+M69+M80</x:f>
        <x:v>52307381.600000001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-6800958</x:v>
      </x:c>
      <x:c r="E82" s="25">
        <x:f>+E43-E81</x:f>
        <x:v>-55987</x:v>
      </x:c>
      <x:c r="F82" s="26">
        <x:f>+F43-F81</x:f>
        <x:v>-6856945</x:v>
      </x:c>
      <x:c r="G82" s="27"/>
      <x:c r="H82" s="23"/>
      <x:c r="I82" s="24"/>
      <x:c r="J82" s="24"/>
      <x:c r="K82" s="25">
        <x:f>+K43-K81</x:f>
        <x:v>-3046126</x:v>
      </x:c>
      <x:c r="L82" s="25">
        <x:f>+L43-L81</x:f>
        <x:v>-921255.60000000009</x:v>
      </x:c>
      <x:c r="M82" s="26">
        <x:f>+M43-M81</x:f>
        <x:v>-3967381.6000000015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83" t="s">
        <x:v>144</x:v>
      </x:c>
      <x:c r="C84" s="83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83" t="s">
        <x:v>144</x:v>
      </x:c>
      <x:c r="J84" s="83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82" t="s">
        <x:v>151</x:v>
      </x:c>
      <x:c r="B85" s="38" t="s">
        <x:v>1679</x:v>
      </x:c>
      <x:c r="C85" s="38" t="s">
        <x:v>1030</x:v>
      </x:c>
      <x:c r="D85" s="39">
        <x:v>18800136</x:v>
      </x:c>
      <x:c r="E85" s="39">
        <x:v>199864</x:v>
      </x:c>
      <x:c r="F85" s="40">
        <x:f>+D85+E85</x:f>
        <x:v>19000000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11895864</x:v>
      </x:c>
      <x:c r="L85" s="39">
        <x:v>104136</x:v>
      </x:c>
      <x:c r="M85" s="40">
        <x:f>+K85+L85</x:f>
        <x:v>12000000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657</x:v>
      </x:c>
      <x:c r="D86" s="20">
        <x:v>955500</x:v>
      </x:c>
      <x:c r="E86" s="20">
        <x:f>+D86*0.1</x:f>
        <x:v>95550</x:v>
      </x:c>
      <x:c r="F86" s="21">
        <x:f>+D86+E86</x:f>
        <x:v>1051050</x:v>
      </x:c>
      <x:c r="G86" s="22"/>
      <x:c r="H86" s="298" t="s">
        <x:v>148</x:v>
      </x:c>
      <x:c r="I86" s="19" t="s">
        <x:v>838</x:v>
      </x:c>
      <x:c r="J86" s="19" t="s">
        <x:v>990</x:v>
      </x:c>
      <x:c r="K86" s="20">
        <x:v>1798000</x:v>
      </x:c>
      <x:c r="L86" s="20">
        <x:f>+K86*0.1</x:f>
        <x:v>179800</x:v>
      </x:c>
      <x:c r="M86" s="21">
        <x:f t="shared" ref="M86:M100" si="13">+K86+L86</x:f>
        <x:v>1977800</x:v>
      </x:c>
      <x:c r="N86" s="22"/>
    </x:row>
    <x:row r="87" spans="1:14" ht="20.100000000000001" customHeight="1">
      <x:c r="A87" s="299"/>
      <x:c r="B87" s="3" t="s">
        <x:v>867</x:v>
      </x:c>
      <x:c r="C87" s="3" t="s">
        <x:v>360</x:v>
      </x:c>
      <x:c r="D87" s="4">
        <x:v>2685200</x:v>
      </x:c>
      <x:c r="E87" s="4">
        <x:f>+D87*0.1</x:f>
        <x:v>268520</x:v>
      </x:c>
      <x:c r="F87" s="5">
        <x:f>+D87+E87</x:f>
        <x:v>2953720</x:v>
      </x:c>
      <x:c r="G87" s="6"/>
      <x:c r="H87" s="299"/>
      <x:c r="I87" s="3" t="s">
        <x:v>867</x:v>
      </x:c>
      <x:c r="J87" s="3" t="s">
        <x:v>360</x:v>
      </x:c>
      <x:c r="K87" s="4">
        <x:v>3726140</x:v>
      </x:c>
      <x:c r="L87" s="4">
        <x:f>K87*0.1</x:f>
        <x:v>372614</x:v>
      </x:c>
      <x:c r="M87" s="5">
        <x:f t="shared" si="13"/>
        <x:v>4098754</x:v>
      </x:c>
      <x:c r="N87" s="6"/>
    </x:row>
    <x:row r="88" spans="1:14" ht="20.100000000000001" customHeight="1">
      <x:c r="A88" s="299"/>
      <x:c r="B88" s="3" t="s">
        <x:v>907</x:v>
      </x:c>
      <x:c r="C88" s="3"/>
      <x:c r="D88" s="4"/>
      <x:c r="E88" s="4">
        <x:f>+D88*0.1</x:f>
        <x:v>0</x:v>
      </x:c>
      <x:c r="F88" s="5">
        <x:f>+D88+E88</x:f>
        <x:v>0</x:v>
      </x:c>
      <x:c r="G88" s="6"/>
      <x:c r="H88" s="299"/>
      <x:c r="I88" s="3" t="s">
        <x:v>907</x:v>
      </x:c>
      <x:c r="J88" s="3"/>
      <x:c r="K88" s="4"/>
      <x:c r="L88" s="4">
        <x:f t="shared" ref="L88:L100" si="14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840</x:v>
      </x:c>
      <x:c r="C89" s="3"/>
      <x:c r="D89" s="4"/>
      <x:c r="E89" s="4">
        <x:f>+INT(D89*0.1)</x:f>
        <x:v>0</x:v>
      </x:c>
      <x:c r="F89" s="5">
        <x:f t="shared" ref="F89:F99" si="15">+D89+E89</x:f>
        <x:v>0</x:v>
      </x:c>
      <x:c r="G89" s="6"/>
      <x:c r="H89" s="299"/>
      <x:c r="I89" s="3" t="s">
        <x:v>840</x:v>
      </x:c>
      <x:c r="J89" s="3" t="s">
        <x:v>83</x:v>
      </x:c>
      <x:c r="K89" s="4">
        <x:v>112000</x:v>
      </x:c>
      <x:c r="L89" s="4">
        <x:f t="shared" si="14"/>
        <x:v>11200</x:v>
      </x:c>
      <x:c r="M89" s="5">
        <x:f t="shared" si="13"/>
        <x:v>123200</x:v>
      </x:c>
      <x:c r="N89" s="6"/>
    </x:row>
    <x:row r="90" spans="1:14" ht="20.100000000000001" customHeight="1">
      <x:c r="A90" s="299"/>
      <x:c r="B90" s="3" t="s">
        <x:v>976</x:v>
      </x:c>
      <x:c r="C90" s="3" t="s">
        <x:v>653</x:v>
      </x:c>
      <x:c r="D90" s="4">
        <x:v>905000</x:v>
      </x:c>
      <x:c r="E90" s="4">
        <x:f t="shared" ref="E90:E99" si="16">+INT(D90*0.1)</x:f>
        <x:v>90500</x:v>
      </x:c>
      <x:c r="F90" s="5">
        <x:f t="shared" si="15"/>
        <x:v>995500</x:v>
      </x:c>
      <x:c r="G90" s="6"/>
      <x:c r="H90" s="299"/>
      <x:c r="I90" s="3" t="s">
        <x:v>976</x:v>
      </x:c>
      <x:c r="J90" s="3" t="s">
        <x:v>661</x:v>
      </x:c>
      <x:c r="K90" s="4">
        <x:v>445000</x:v>
      </x:c>
      <x:c r="L90" s="4">
        <x:f>+K90*0.1</x:f>
        <x:v>44500</x:v>
      </x:c>
      <x:c r="M90" s="5">
        <x:f t="shared" si="13"/>
        <x:v>489500</x:v>
      </x:c>
      <x:c r="N90" s="6"/>
    </x:row>
    <x:row r="91" spans="1:14" ht="20.100000000000001" customHeight="1">
      <x:c r="A91" s="299"/>
      <x:c r="B91" s="3" t="s">
        <x:v>846</x:v>
      </x:c>
      <x:c r="C91" s="3" t="s">
        <x:v>656</x:v>
      </x:c>
      <x:c r="D91" s="4">
        <x:v>775900</x:v>
      </x:c>
      <x:c r="E91" s="4">
        <x:f t="shared" si="16"/>
        <x:v>77590</x:v>
      </x:c>
      <x:c r="F91" s="5">
        <x:f t="shared" si="15"/>
        <x:v>853490</x:v>
      </x:c>
      <x:c r="G91" s="6"/>
      <x:c r="H91" s="299"/>
      <x:c r="I91" s="3" t="s">
        <x:v>846</x:v>
      </x:c>
      <x:c r="J91" s="3" t="s">
        <x:v>348</x:v>
      </x:c>
      <x:c r="K91" s="4">
        <x:v>2123600</x:v>
      </x:c>
      <x:c r="L91" s="4">
        <x:f t="shared" si="14"/>
        <x:v>212360</x:v>
      </x:c>
      <x:c r="M91" s="5">
        <x:f t="shared" si="13"/>
        <x:v>2335960</x:v>
      </x:c>
      <x:c r="N91" s="6"/>
    </x:row>
    <x:row r="92" spans="1:14" ht="20.100000000000001" customHeight="1">
      <x:c r="A92" s="299"/>
      <x:c r="B92" s="3" t="s">
        <x:v>938</x:v>
      </x:c>
      <x:c r="C92" s="3"/>
      <x:c r="D92" s="4"/>
      <x:c r="E92" s="4">
        <x:f t="shared" si="16"/>
        <x:v>0</x:v>
      </x:c>
      <x:c r="F92" s="5">
        <x:f t="shared" si="15"/>
        <x:v>0</x:v>
      </x:c>
      <x:c r="G92" s="6"/>
      <x:c r="H92" s="299"/>
      <x:c r="I92" s="3" t="s">
        <x:v>938</x:v>
      </x:c>
      <x:c r="J92" s="3" t="s">
        <x:v>1063</x:v>
      </x:c>
      <x:c r="K92" s="4">
        <x:v>76500</x:v>
      </x:c>
      <x:c r="L92" s="4">
        <x:f t="shared" si="14"/>
        <x:v>7650</x:v>
      </x:c>
      <x:c r="M92" s="5">
        <x:f t="shared" si="13"/>
        <x:v>84150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6"/>
        <x:v>0</x:v>
      </x:c>
      <x:c r="F93" s="5">
        <x:f t="shared" si="15"/>
        <x:v>0</x:v>
      </x:c>
      <x:c r="G93" s="6"/>
      <x:c r="H93" s="299"/>
      <x:c r="I93" s="3"/>
      <x:c r="J93" s="3"/>
      <x:c r="K93" s="4"/>
      <x:c r="L93" s="4">
        <x:f t="shared" si="14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6"/>
        <x:v>0</x:v>
      </x:c>
      <x:c r="F94" s="5">
        <x:f t="shared" si="15"/>
        <x:v>0</x:v>
      </x:c>
      <x:c r="G94" s="6"/>
      <x:c r="H94" s="299"/>
      <x:c r="I94" s="3"/>
      <x:c r="J94" s="3"/>
      <x:c r="K94" s="4"/>
      <x:c r="L94" s="4">
        <x:f t="shared" si="14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6"/>
        <x:v>0</x:v>
      </x:c>
      <x:c r="F95" s="5">
        <x:f t="shared" si="15"/>
        <x:v>0</x:v>
      </x:c>
      <x:c r="G95" s="6"/>
      <x:c r="H95" s="299"/>
      <x:c r="I95" s="3"/>
      <x:c r="J95" s="3"/>
      <x:c r="K95" s="4"/>
      <x:c r="L95" s="4">
        <x:f t="shared" si="14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 t="shared" si="15"/>
        <x:v>0</x:v>
      </x:c>
      <x:c r="G96" s="6"/>
      <x:c r="H96" s="299"/>
      <x:c r="I96" s="3"/>
      <x:c r="J96" s="3"/>
      <x:c r="K96" s="4"/>
      <x:c r="L96" s="4">
        <x:f t="shared" si="14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6"/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4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6"/>
        <x:v>0</x:v>
      </x:c>
      <x:c r="F98" s="5">
        <x:f t="shared" si="15"/>
        <x:v>0</x:v>
      </x:c>
      <x:c r="G98" s="6"/>
      <x:c r="H98" s="299"/>
      <x:c r="I98" s="3"/>
      <x:c r="J98" s="3"/>
      <x:c r="K98" s="4"/>
      <x:c r="L98" s="4">
        <x:f t="shared" si="14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5"/>
        <x:v>0</x:v>
      </x:c>
      <x:c r="G99" s="6"/>
      <x:c r="H99" s="299"/>
      <x:c r="I99" s="3"/>
      <x:c r="J99" s="3"/>
      <x:c r="K99" s="4"/>
      <x:c r="L99" s="4">
        <x:f t="shared" si="14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4"/>
        <x:v>0</x:v>
      </x:c>
      <x:c r="M100" s="5">
        <x:f t="shared" si="13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5321600</x:v>
      </x:c>
      <x:c r="E101" s="9">
        <x:f>SUM(E86:E100)</x:f>
        <x:v>532160</x:v>
      </x:c>
      <x:c r="F101" s="10">
        <x:f>SUM(F86:F100)</x:f>
        <x:v>5853760</x:v>
      </x:c>
      <x:c r="G101" s="11"/>
      <x:c r="H101" s="7"/>
      <x:c r="I101" s="8"/>
      <x:c r="J101" s="8"/>
      <x:c r="K101" s="9">
        <x:f>SUM(K86:K100)</x:f>
        <x:v>8281240</x:v>
      </x:c>
      <x:c r="L101" s="9">
        <x:f>SUM(L86:L100)</x:f>
        <x:v>828124</x:v>
      </x:c>
      <x:c r="M101" s="10">
        <x:f>SUM(M86:M100)</x:f>
        <x:v>9109364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/>
      <x:c r="D102" s="44">
        <x:v>14320000</x:v>
      </x:c>
      <x:c r="E102" s="44"/>
      <x:c r="F102" s="45">
        <x:f>+D102+E102</x:f>
        <x:v>14320000</x:v>
      </x:c>
      <x:c r="G102" s="37"/>
      <x:c r="H102" s="301" t="s">
        <x:v>153</x:v>
      </x:c>
      <x:c r="I102" s="3" t="s">
        <x:v>1677</x:v>
      </x:c>
      <x:c r="J102" s="3"/>
      <x:c r="K102" s="4">
        <x:v>13490000</x:v>
      </x:c>
      <x:c r="L102" s="4"/>
      <x:c r="M102" s="5">
        <x:f>+K102+L102</x:f>
        <x:v>13490000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14320000</x:v>
      </x:c>
      <x:c r="E106" s="9">
        <x:f>SUM(E102:E105)</x:f>
        <x:v>0</x:v>
      </x:c>
      <x:c r="F106" s="10">
        <x:f>SUM(F102:F105)</x:f>
        <x:v>14320000</x:v>
      </x:c>
      <x:c r="G106" s="11"/>
      <x:c r="H106" s="7"/>
      <x:c r="I106" s="8"/>
      <x:c r="J106" s="8"/>
      <x:c r="K106" s="9">
        <x:f>SUM(K102:K105)</x:f>
        <x:v>13490000</x:v>
      </x:c>
      <x:c r="L106" s="9">
        <x:f>SUM(L102:L105)</x:f>
        <x:v>0</x:v>
      </x:c>
      <x:c r="M106" s="10">
        <x:f>SUM(M102:M105)</x:f>
        <x:v>13490000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608000</x:v>
      </x:c>
      <x:c r="L112" s="4"/>
      <x:c r="M112" s="5">
        <x:f t="shared" ref="M112:M119" si="17">+K112+L112</x:f>
        <x:v>608000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1727</x:v>
      </x:c>
      <x:c r="K113" s="4">
        <x:v>100000</x:v>
      </x:c>
      <x:c r="L113" s="4">
        <x:f>+K113*0.1</x:f>
        <x:v>10000</x:v>
      </x:c>
      <x:c r="M113" s="5">
        <x:f t="shared" si="17"/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/>
      <x:c r="E114" s="4">
        <x:f>+D114*0.1</x:f>
        <x:v>0</x:v>
      </x:c>
      <x:c r="F114" s="5">
        <x:f>+D114+E114</x:f>
        <x:v>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17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528000</x:v>
      </x:c>
      <x:c r="E115" s="4">
        <x:f>+D115*0.1</x:f>
        <x:v>52800</x:v>
      </x:c>
      <x:c r="F115" s="5">
        <x:f t="shared" ref="F115:F121" si="18">+D115+E115</x:f>
        <x:v>580800</x:v>
      </x:c>
      <x:c r="G115" s="6"/>
      <x:c r="H115" s="299"/>
      <x:c r="I115" s="3" t="s">
        <x:v>633</x:v>
      </x:c>
      <x:c r="J115" s="3" t="s">
        <x:v>962</x:v>
      </x:c>
      <x:c r="K115" s="4">
        <x:v>564000</x:v>
      </x:c>
      <x:c r="L115" s="4">
        <x:f>+K115*0.1</x:f>
        <x:v>56400</x:v>
      </x:c>
      <x:c r="M115" s="5">
        <x:f t="shared" si="17"/>
        <x:v>620400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696730</x:v>
      </x:c>
      <x:c r="E116" s="4"/>
      <x:c r="F116" s="5">
        <x:f t="shared" si="18"/>
        <x:v>696730</x:v>
      </x:c>
      <x:c r="G116" s="6"/>
      <x:c r="H116" s="299"/>
      <x:c r="I116" s="3" t="s">
        <x:v>1049</x:v>
      </x:c>
      <x:c r="J116" s="3" t="s">
        <x:v>167</x:v>
      </x:c>
      <x:c r="K116" s="4">
        <x:v>65000</x:v>
      </x:c>
      <x:c r="L116" s="4">
        <x:f>+K116*0.1</x:f>
        <x:v>6500</x:v>
      </x:c>
      <x:c r="M116" s="5">
        <x:f t="shared" si="17"/>
        <x:v>71500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18"/>
        <x:v>110000</x:v>
      </x:c>
      <x:c r="G117" s="6"/>
      <x:c r="H117" s="299"/>
      <x:c r="I117" s="3"/>
      <x:c r="J117" s="3"/>
      <x:c r="K117" s="4"/>
      <x:c r="L117" s="4"/>
      <x:c r="M117" s="5">
        <x:f t="shared" si="17"/>
        <x:v>0</x:v>
      </x:c>
      <x:c r="N117" s="6"/>
    </x:row>
    <x:row r="118" spans="1:14" ht="20.100000000000001" customHeight="1">
      <x:c r="A118" s="299"/>
      <x:c r="B118" s="3" t="s">
        <x:v>908</x:v>
      </x:c>
      <x:c r="C118" s="3" t="s">
        <x:v>1057</x:v>
      </x:c>
      <x:c r="D118" s="4">
        <x:v>150000</x:v>
      </x:c>
      <x:c r="E118" s="4">
        <x:f>+D118*0.1</x:f>
        <x:v>15000</x:v>
      </x:c>
      <x:c r="F118" s="5">
        <x:f t="shared" si="18"/>
        <x:v>165000</x:v>
      </x:c>
      <x:c r="G118" s="6"/>
      <x:c r="H118" s="299"/>
      <x:c r="I118" s="3"/>
      <x:c r="J118" s="3"/>
      <x:c r="K118" s="4"/>
      <x:c r="L118" s="4"/>
      <x:c r="M118" s="5">
        <x:f t="shared" si="17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8"/>
        <x:v>0</x:v>
      </x:c>
      <x:c r="G119" s="6"/>
      <x:c r="H119" s="299"/>
      <x:c r="I119" s="3"/>
      <x:c r="J119" s="3"/>
      <x:c r="K119" s="4"/>
      <x:c r="L119" s="4"/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8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8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2022730</x:v>
      </x:c>
      <x:c r="E122" s="9">
        <x:f>SUM(E112:E121)</x:f>
        <x:v>127800</x:v>
      </x:c>
      <x:c r="F122" s="10">
        <x:f>SUM(F112:F121)</x:f>
        <x:v>2150530</x:v>
      </x:c>
      <x:c r="G122" s="11"/>
      <x:c r="H122" s="7"/>
      <x:c r="I122" s="8"/>
      <x:c r="J122" s="8"/>
      <x:c r="K122" s="9">
        <x:f>SUM(K112:K121)</x:f>
        <x:v>1417000</x:v>
      </x:c>
      <x:c r="L122" s="9">
        <x:f>SUM(L112:L121)</x:f>
        <x:v>80900</x:v>
      </x:c>
      <x:c r="M122" s="10">
        <x:f>SUM(M112:M121)</x:f>
        <x:v>1497900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21664330</x:v>
      </x:c>
      <x:c r="E123" s="14">
        <x:f>+E101+E106+E111+E122</x:f>
        <x:v>659960</x:v>
      </x:c>
      <x:c r="F123" s="15">
        <x:f>+F101+F106+F111+F122</x:f>
        <x:v>22324290</x:v>
      </x:c>
      <x:c r="G123" s="16"/>
      <x:c r="H123" s="12"/>
      <x:c r="I123" s="13"/>
      <x:c r="J123" s="13"/>
      <x:c r="K123" s="14">
        <x:f>+K101+K106+K111+K122</x:f>
        <x:v>23188240</x:v>
      </x:c>
      <x:c r="L123" s="14">
        <x:f>+L101+L106+L111+L122</x:f>
        <x:v>909024</x:v>
      </x:c>
      <x:c r="M123" s="15">
        <x:f>+M101+M106+M111+M122</x:f>
        <x:v>24097264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-2864194</x:v>
      </x:c>
      <x:c r="E124" s="25">
        <x:f>+E85-E123</x:f>
        <x:v>-460096</x:v>
      </x:c>
      <x:c r="F124" s="26">
        <x:f>+F85-F123</x:f>
        <x:v>-3324290</x:v>
      </x:c>
      <x:c r="G124" s="27"/>
      <x:c r="H124" s="23"/>
      <x:c r="I124" s="24"/>
      <x:c r="J124" s="24"/>
      <x:c r="K124" s="25">
        <x:f>+K85-K123</x:f>
        <x:v>-11292376</x:v>
      </x:c>
      <x:c r="L124" s="25">
        <x:f>+L85-L123</x:f>
        <x:v>-804888</x:v>
      </x:c>
      <x:c r="M124" s="26">
        <x:f>+M85-M123</x:f>
        <x:v>-12097264</x:v>
      </x:c>
      <x:c r="N124" s="27"/>
    </x:row>
    <x:row r="127" spans="1:13">
      <x:c r="A127" s="1" t="s">
        <x:v>148</x:v>
      </x:c>
      <x:c r="D127" s="2">
        <x:f>+D15+D59+D101</x:f>
        <x:v>10624510</x:v>
      </x:c>
      <x:c r="E127" s="2">
        <x:f>+E15+E59+E101</x:f>
        <x:v>1062451</x:v>
      </x:c>
      <x:c r="F127" s="2">
        <x:f>+F15+F59+F101</x:f>
        <x:v>11686961</x:v>
      </x:c>
      <x:c r="K127" s="2">
        <x:f>+K15+K59+K101</x:f>
        <x:v>50726180</x:v>
      </x:c>
      <x:c r="L127" s="2">
        <x:f>+L15+L59+L101</x:f>
        <x:v>5072617</x:v>
      </x:c>
      <x:c r="M127" s="2">
        <x:f>+M15+M59+M101</x:f>
        <x:v>55798797</x:v>
      </x:c>
    </x:row>
    <x:row r="128" spans="1:13">
      <x:c r="A128" s="1" t="s">
        <x:v>153</x:v>
      </x:c>
      <x:c r="D128" s="2">
        <x:f>+D22+D64+D106</x:f>
        <x:v>37290000</x:v>
      </x:c>
      <x:c r="E128" s="2">
        <x:f>+E22+E64+E106</x:f>
        <x:v>0</x:v>
      </x:c>
      <x:c r="F128" s="2">
        <x:f>+F22+F64+F106</x:f>
        <x:v>37290000</x:v>
      </x:c>
      <x:c r="K128" s="2">
        <x:f>+K22+K64+K106</x:f>
        <x:v>105258600</x:v>
      </x:c>
      <x:c r="L128" s="2">
        <x:f>+L22+L64+L106</x:f>
        <x:v>2751360</x:v>
      </x:c>
      <x:c r="M128" s="2">
        <x:f>+M22+M64+M106</x:f>
        <x:v>108009960</x:v>
      </x:c>
    </x:row>
    <x:row r="129" spans="1:13">
      <x:c r="A129" s="1" t="s">
        <x:v>187</x:v>
      </x:c>
      <x:c r="D129" s="2">
        <x:f>+D27+D69+D111</x:f>
        <x:v>0</x:v>
      </x:c>
      <x:c r="E129" s="2">
        <x:f>+E27+E69+E111</x:f>
        <x:v>0</x:v>
      </x:c>
      <x:c r="F129" s="2">
        <x:f>+F27+F69+F111</x:f>
        <x:v>0</x:v>
      </x:c>
      <x:c r="K129" s="2">
        <x:f>+K27+K69+K111</x:f>
        <x:v>920000</x:v>
      </x:c>
      <x:c r="L129" s="2">
        <x:f>+L27+L69+L111</x:f>
        <x:v>92000</x:v>
      </x:c>
      <x:c r="M129" s="2">
        <x:f>+M27+M69+M111</x:f>
        <x:v>1012000</x:v>
      </x:c>
    </x:row>
    <x:row r="130" spans="1:13">
      <x:c r="A130" s="1" t="s">
        <x:v>149</x:v>
      </x:c>
      <x:c r="D130" s="2">
        <x:f>+D38+D80+D122</x:f>
        <x:v>3923190</x:v>
      </x:c>
      <x:c r="E130" s="2">
        <x:f>+E38+E80+E122</x:f>
        <x:v>212800</x:v>
      </x:c>
      <x:c r="F130" s="2">
        <x:f>+F38+F80+F122</x:f>
        <x:v>4135990</x:v>
      </x:c>
      <x:c r="K130" s="2">
        <x:f>+K38+K80+K122</x:f>
        <x:v>9208906</x:v>
      </x:c>
      <x:c r="L130" s="2">
        <x:f>+L38+L80+L122</x:f>
        <x:v>566154</x:v>
      </x:c>
      <x:c r="M130" s="2">
        <x:f>+M38+M80+M122</x:f>
        <x:v>9775060</x:v>
      </x:c>
    </x:row>
    <x:row r="131" spans="1:13">
      <x:c r="A131" s="1" t="s">
        <x:v>202</x:v>
      </x:c>
      <x:c r="D131" s="2">
        <x:f>SUM(D127:D130)</x:f>
        <x:v>51837700</x:v>
      </x:c>
      <x:c r="E131" s="2">
        <x:f>SUM(E127:E130)</x:f>
        <x:v>1275251</x:v>
      </x:c>
      <x:c r="F131" s="2">
        <x:f>SUM(F127:F130)</x:f>
        <x:v>53112951</x:v>
      </x:c>
      <x:c r="K131" s="2">
        <x:f>SUM(K127:K130)</x:f>
        <x:v>166113686</x:v>
      </x:c>
      <x:c r="L131" s="2">
        <x:f>SUM(L127:L130)</x:f>
        <x:v>8482131</x:v>
      </x:c>
      <x:c r="M131" s="2">
        <x:f>SUM(M127:M130)</x:f>
        <x:v>174595817</x:v>
      </x:c>
    </x:row>
    <x:row r="134" spans="1:6">
      <x:c r="A134" s="1" t="s">
        <x:v>148</x:v>
      </x:c>
      <x:c r="D134" s="2">
        <x:f>+D127+K127</x:f>
        <x:v>61350690</x:v>
      </x:c>
      <x:c r="E134" s="2">
        <x:f>+E127+L127</x:f>
        <x:v>6135068</x:v>
      </x:c>
      <x:c r="F134" s="2">
        <x:f>+F127+M127</x:f>
        <x:v>67485758</x:v>
      </x:c>
    </x:row>
    <x:row r="135" spans="1:6">
      <x:c r="A135" s="1" t="s">
        <x:v>153</x:v>
      </x:c>
      <x:c r="D135" s="2">
        <x:f t="shared" ref="D135:F137" si="19">+D128+K128</x:f>
        <x:v>142548600</x:v>
      </x:c>
      <x:c r="E135" s="2">
        <x:f t="shared" si="19"/>
        <x:v>2751360</x:v>
      </x:c>
      <x:c r="F135" s="2">
        <x:f t="shared" si="19"/>
        <x:v>145299960</x:v>
      </x:c>
    </x:row>
    <x:row r="136" spans="1:6">
      <x:c r="A136" s="1" t="s">
        <x:v>187</x:v>
      </x:c>
      <x:c r="D136" s="2">
        <x:f t="shared" si="19"/>
        <x:v>920000</x:v>
      </x:c>
      <x:c r="E136" s="2">
        <x:f t="shared" si="19"/>
        <x:v>92000</x:v>
      </x:c>
      <x:c r="F136" s="2">
        <x:f t="shared" si="19"/>
        <x:v>1012000</x:v>
      </x:c>
    </x:row>
    <x:row r="137" spans="1:6">
      <x:c r="A137" s="1" t="s">
        <x:v>149</x:v>
      </x:c>
      <x:c r="D137" s="2">
        <x:f t="shared" si="19"/>
        <x:v>13132096</x:v>
      </x:c>
      <x:c r="E137" s="2">
        <x:f t="shared" si="19"/>
        <x:v>778954</x:v>
      </x:c>
      <x:c r="F137" s="2">
        <x:f t="shared" si="19"/>
        <x:v>13911050</x:v>
      </x:c>
    </x:row>
    <x:row r="138" spans="1:6">
      <x:c r="A138" s="1" t="s">
        <x:v>1019</x:v>
      </x:c>
      <x:c r="D138" s="2">
        <x:f>SUM(D134:D137)</x:f>
        <x:v>217951386</x:v>
      </x:c>
      <x:c r="E138" s="2">
        <x:f>SUM(E134:E137)</x:f>
        <x:v>9757382</x:v>
      </x:c>
      <x:c r="F138" s="2">
        <x:f>SUM(F134:F137)</x:f>
        <x:v>227708768</x:v>
      </x:c>
    </x:row>
    <x:row r="139" spans="1:6">
      <x:c r="A139" s="1" t="s">
        <x:v>151</x:v>
      </x:c>
      <x:c r="D139" s="2">
        <x:f>D4+D43+D85+K4+K43+K85</x:f>
        <x:v>220945192</x:v>
      </x:c>
      <x:c r="E139" s="2">
        <x:f>E4+E43+E85+L4+L43+L85</x:f>
        <x:v>1394808</x:v>
      </x:c>
      <x:c r="F139" s="2">
        <x:f>F4+F43+F85+M4+M43+M85</x:f>
        <x:v>222340000</x:v>
      </x:c>
    </x:row>
    <x:row r="140" spans="1:6">
      <x:c r="A140" s="1" t="s">
        <x:v>632</x:v>
      </x:c>
      <x:c r="D140" s="2">
        <x:f>+D139-D138</x:f>
        <x:v>2993806</x:v>
      </x:c>
      <x:c r="E140" s="2">
        <x:f>+E139-E138</x:f>
        <x:v>-8362574</x:v>
      </x:c>
      <x:c r="F140" s="2">
        <x:f>+F139-F138</x:f>
        <x:v>-5368768</x:v>
      </x:c>
    </x:row>
  </x:sheetData>
  <x:mergeCells count="31">
    <x:mergeCell ref="A16:A21"/>
    <x:mergeCell ref="H16:H21"/>
    <x:mergeCell ref="A1:N1"/>
    <x:mergeCell ref="A2:G2"/>
    <x:mergeCell ref="H2:N2"/>
    <x:mergeCell ref="A5:A14"/>
    <x:mergeCell ref="H5:H14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R17"/>
  <x:sheetViews>
    <x:sheetView view="pageBreakPreview" topLeftCell="A1" zoomScaleNormal="100" zoomScaleSheetLayoutView="100" workbookViewId="0">
      <x:selection activeCell="J12" activeCellId="0" sqref="J12:J12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1722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84"/>
      <x:c r="C2" s="84"/>
      <x:c r="D2" s="84"/>
      <x:c r="E2" s="84"/>
      <x:c r="F2" s="84"/>
      <x:c r="G2" s="84"/>
      <x:c r="H2" s="84"/>
      <x:c r="I2" s="84"/>
      <x:c r="J2" s="84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86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0" t="s">
        <x:v>638</x:v>
      </x:c>
      <x:c r="C5" s="61" t="s">
        <x:v>635</x:v>
      </x:c>
      <x:c r="D5" s="74">
        <x:f>'19년11월(세부내역)'!D4</x:f>
        <x:v>0</x:v>
      </x:c>
      <x:c r="E5" s="67">
        <x:f>'19년11월(세부내역)'!D15</x:f>
        <x:v>0</x:v>
      </x:c>
      <x:c r="F5" s="67">
        <x:f>'19년11월(세부내역)'!D22</x:f>
        <x:v>3300000</x:v>
      </x:c>
      <x:c r="G5" s="67">
        <x:f>'19년11월(세부내역)'!D27</x:f>
        <x:v>0</x:v>
      </x:c>
      <x:c r="H5" s="67">
        <x:f>'19년11월(세부내역)'!D38</x:f>
        <x:v>306390</x:v>
      </x:c>
      <x:c r="I5" s="75">
        <x:f t="shared" ref="I5:I10" si="0">+SUM(E5:H5)</x:f>
        <x:v>3606390</x:v>
      </x:c>
      <x:c r="J5" s="9">
        <x:f t="shared" ref="J5:J10" si="1">D5-I5</x:f>
        <x:v>-3606390</x:v>
      </x:c>
      <x:c r="K5" s="67" t="s">
        <x:v>216</x:v>
      </x:c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634</x:v>
      </x:c>
      <x:c r="C6" s="58" t="s">
        <x:v>901</x:v>
      </x:c>
      <x:c r="D6" s="74">
        <x:f>'19년11월(세부내역)'!K4</x:f>
        <x:v>144000000</x:v>
      </x:c>
      <x:c r="E6" s="59">
        <x:f>+'19년11월(세부내역)'!K15</x:f>
        <x:v>42339795</x:v>
      </x:c>
      <x:c r="F6" s="59">
        <x:f>'19년11월(세부내역)'!K22</x:f>
        <x:v>49476000</x:v>
      </x:c>
      <x:c r="G6" s="59">
        <x:f>'19년11월(세부내역)'!K27</x:f>
        <x:v>600000</x:v>
      </x:c>
      <x:c r="H6" s="59">
        <x:f>'19년11월(세부내역)'!K38</x:f>
        <x:v>4705956</x:v>
      </x:c>
      <x:c r="I6" s="75">
        <x:f t="shared" si="0"/>
        <x:v>97121751</x:v>
      </x:c>
      <x:c r="J6" s="9">
        <x:f t="shared" si="1"/>
        <x:v>46878249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'19년11월(세부내역)'!D43</x:f>
        <x:v>0</x:v>
      </x:c>
      <x:c r="E7" s="59">
        <x:f>+'19년11월(세부내역)'!D59</x:f>
        <x:v>1882280</x:v>
      </x:c>
      <x:c r="F7" s="59">
        <x:f>'19년11월(세부내역)'!D64</x:f>
        <x:v>7910000</x:v>
      </x:c>
      <x:c r="G7" s="59">
        <x:f>'19년11월(세부내역)'!D69</x:f>
        <x:v>0</x:v>
      </x:c>
      <x:c r="H7" s="59">
        <x:f>'19년11월(세부내역)'!D80</x:f>
        <x:v>907500</x:v>
      </x:c>
      <x:c r="I7" s="75">
        <x:f t="shared" si="0"/>
        <x:v>10699780</x:v>
      </x:c>
      <x:c r="J7" s="80">
        <x:f t="shared" si="1"/>
        <x:v>-10699780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'19년11월(세부내역)'!K43</x:f>
        <x:v>94700000</x:v>
      </x:c>
      <x:c r="E8" s="59">
        <x:f>'19년11월(세부내역)'!K59</x:f>
        <x:v>51086863</x:v>
      </x:c>
      <x:c r="F8" s="59">
        <x:f>'19년11월(세부내역)'!K64</x:f>
        <x:v>37345000</x:v>
      </x:c>
      <x:c r="G8" s="59">
        <x:f>'19년11월(세부내역)'!K69</x:f>
        <x:v>1800000</x:v>
      </x:c>
      <x:c r="H8" s="59">
        <x:f>'19년11월(세부내역)'!K80</x:f>
        <x:v>2803180</x:v>
      </x:c>
      <x:c r="I8" s="75">
        <x:f t="shared" si="0"/>
        <x:v>93035043</x:v>
      </x:c>
      <x:c r="J8" s="9">
        <x:f t="shared" si="1"/>
        <x:v>1664957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'19년11월(세부내역)'!D85</x:f>
        <x:v>15831694</x:v>
      </x:c>
      <x:c r="E9" s="59">
        <x:f>'19년11월(세부내역)'!D101</x:f>
        <x:v>1206300</x:v>
      </x:c>
      <x:c r="F9" s="59">
        <x:f>'19년11월(세부내역)'!D106</x:f>
        <x:v>12960000</x:v>
      </x:c>
      <x:c r="G9" s="59">
        <x:f>'19년11월(세부내역)'!D111</x:f>
        <x:v>0</x:v>
      </x:c>
      <x:c r="H9" s="59">
        <x:f>'19년11월(세부내역)'!D122</x:f>
        <x:v>2485510</x:v>
      </x:c>
      <x:c r="I9" s="75">
        <x:f t="shared" si="0"/>
        <x:v>16651810</x:v>
      </x:c>
      <x:c r="J9" s="9">
        <x:f t="shared" si="1"/>
        <x:v>-820116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'19년11월(세부내역)'!K85</x:f>
        <x:v>11895864</x:v>
      </x:c>
      <x:c r="E10" s="59">
        <x:f>'19년11월(세부내역)'!K101</x:f>
        <x:v>2023886</x:v>
      </x:c>
      <x:c r="F10" s="59">
        <x:f>'19년11월(세부내역)'!K106</x:f>
        <x:v>13490000</x:v>
      </x:c>
      <x:c r="G10" s="59">
        <x:f>'19년11월(세부내역)'!K111</x:f>
        <x:v>200000</x:v>
      </x:c>
      <x:c r="H10" s="59">
        <x:f>'19년11월(세부내역)'!K122</x:f>
        <x:v>1398920</x:v>
      </x:c>
      <x:c r="I10" s="75">
        <x:f t="shared" si="0"/>
        <x:v>17112806</x:v>
      </x:c>
      <x:c r="J10" s="9">
        <x:f t="shared" si="1"/>
        <x:v>-5216942</x:v>
      </x:c>
      <x:c r="K10" s="59"/>
    </x:row>
    <x:row r="11" spans="1:11" ht="30" customHeight="1">
      <x:c r="A11" s="63">
        <x:v>7</x:v>
      </x:c>
      <x:c r="B11" s="63" t="s">
        <x:v>654</x:v>
      </x:c>
      <x:c r="C11" s="58" t="s">
        <x:v>1065</x:v>
      </x:c>
      <x:c r="D11" s="74">
        <x:f>'19년11월(세부내역)'!D127</x:f>
        <x:v>0</x:v>
      </x:c>
      <x:c r="E11" s="59">
        <x:f>'19년11월(세부내역)'!D143</x:f>
        <x:v>7806540</x:v>
      </x:c>
      <x:c r="F11" s="59">
        <x:f>'19년11월(세부내역)'!D148</x:f>
        <x:v>8720000</x:v>
      </x:c>
      <x:c r="G11" s="59">
        <x:f>'19년11월(세부내역)'!D153</x:f>
        <x:v>0</x:v>
      </x:c>
      <x:c r="H11" s="59">
        <x:f>'19년11월(세부내역)'!D164</x:f>
        <x:v>1385050</x:v>
      </x:c>
      <x:c r="I11" s="75">
        <x:f>+SUM(E11:H11)</x:f>
        <x:v>17911590</x:v>
      </x:c>
      <x:c r="J11" s="9">
        <x:f>D11-I11</x:f>
        <x:v>-17911590</x:v>
      </x:c>
      <x:c r="K11" s="71" t="s">
        <x:v>84</x:v>
      </x:c>
    </x:row>
    <x:row r="12" spans="1:11" ht="30" customHeight="1">
      <x:c r="A12" s="64"/>
      <x:c r="B12" s="64" t="s">
        <x:v>1690</x:v>
      </x:c>
      <x:c r="C12" s="65"/>
      <x:c r="D12" s="68">
        <x:f>SUM(D5:D11)</x:f>
        <x:v>266427558</x:v>
      </x:c>
      <x:c r="E12" s="66">
        <x:f t="shared" ref="E12:J12" si="2">SUM(E5:E11)</x:f>
        <x:v>106345664</x:v>
      </x:c>
      <x:c r="F12" s="66">
        <x:f t="shared" si="2"/>
        <x:v>133201000</x:v>
      </x:c>
      <x:c r="G12" s="66">
        <x:f t="shared" si="2"/>
        <x:v>2600000</x:v>
      </x:c>
      <x:c r="H12" s="66">
        <x:f t="shared" si="2"/>
        <x:v>13992506</x:v>
      </x:c>
      <x:c r="I12" s="69">
        <x:f t="shared" si="2"/>
        <x:v>256139170</x:v>
      </x:c>
      <x:c r="J12" s="66">
        <x:f t="shared" si="2"/>
        <x:v>10288388</x:v>
      </x:c>
      <x:c r="K12" s="66"/>
    </x:row>
    <x:row r="17" spans="11:11">
      <x:c r="K17" s="2">
        <x:v>10832000</x:v>
      </x:c>
    </x:row>
    <x:row r="22" ht="18" customHeight="1"/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N182"/>
  <x:sheetViews>
    <x:sheetView view="pageBreakPreview" topLeftCell="A31" zoomScaleNormal="100" zoomScaleSheetLayoutView="100" workbookViewId="0">
      <x:selection activeCell="I51" activeCellId="0" sqref="I51:J5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1684</x:v>
      </x:c>
      <x:c r="B2" s="303"/>
      <x:c r="C2" s="303"/>
      <x:c r="D2" s="303"/>
      <x:c r="E2" s="303"/>
      <x:c r="F2" s="304"/>
      <x:c r="G2" s="305"/>
      <x:c r="H2" s="302" t="s">
        <x:v>331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86" t="s">
        <x:v>144</x:v>
      </x:c>
      <x:c r="C3" s="86" t="s">
        <x:v>150</x:v>
      </x:c>
      <x:c r="D3" s="31" t="s">
        <x:v>145</x:v>
      </x:c>
      <x:c r="E3" s="31" t="s">
        <x:v>152</x:v>
      </x:c>
      <x:c r="F3" s="32" t="s">
        <x:v>146</x:v>
      </x:c>
      <x:c r="G3" s="33" t="s">
        <x:v>154</x:v>
      </x:c>
      <x:c r="H3" s="29" t="s">
        <x:v>147</x:v>
      </x:c>
      <x:c r="I3" s="86" t="s">
        <x:v>144</x:v>
      </x:c>
      <x:c r="J3" s="86" t="s">
        <x:v>150</x:v>
      </x:c>
      <x:c r="K3" s="31" t="s">
        <x:v>145</x:v>
      </x:c>
      <x:c r="L3" s="31" t="s">
        <x:v>152</x:v>
      </x:c>
      <x:c r="M3" s="31" t="s">
        <x:v>146</x:v>
      </x:c>
      <x:c r="N3" s="34" t="s">
        <x:v>154</x:v>
      </x:c>
    </x:row>
    <x:row r="4" spans="1:14" ht="20.100000000000001" customHeight="1">
      <x:c r="A4" s="85" t="s">
        <x:v>151</x:v>
      </x:c>
      <x:c r="B4" s="38" t="s">
        <x:v>1679</x:v>
      </x:c>
      <x:c r="C4" s="38" t="s">
        <x:v>1678</x:v>
      </x:c>
      <x:c r="D4" s="39"/>
      <x:c r="E4" s="39"/>
      <x:c r="F4" s="40">
        <x:f>+D4+E4</x:f>
        <x:v>0</x:v>
      </x:c>
      <x:c r="G4" s="18"/>
      <x:c r="H4" s="41" t="s">
        <x:v>151</x:v>
      </x:c>
      <x:c r="I4" s="38" t="s">
        <x:v>1679</x:v>
      </x:c>
      <x:c r="J4" s="38" t="s">
        <x:v>901</x:v>
      </x:c>
      <x:c r="K4" s="39">
        <x:v>144000000</x:v>
      </x:c>
      <x:c r="L4" s="39"/>
      <x:c r="M4" s="40">
        <x:f>+K4+L4</x:f>
        <x:v>144000000</x:v>
      </x:c>
      <x:c r="N4" s="42"/>
    </x:row>
    <x:row r="5" spans="1:14" ht="20.100000000000001" customHeight="1">
      <x:c r="A5" s="298" t="s">
        <x:v>148</x:v>
      </x:c>
      <x:c r="B5" s="54"/>
      <x:c r="C5" s="54"/>
      <x:c r="D5" s="20"/>
      <x:c r="E5" s="20">
        <x:f>+D5*0.1</x:f>
        <x:v>0</x:v>
      </x:c>
      <x:c r="F5" s="21">
        <x:f>+D5+E5</x:f>
        <x:v>0</x:v>
      </x:c>
      <x:c r="G5" s="22"/>
      <x:c r="H5" s="298" t="s">
        <x:v>148</x:v>
      </x:c>
      <x:c r="I5" s="19" t="s">
        <x:v>838</x:v>
      </x:c>
      <x:c r="J5" s="19" t="s">
        <x:v>658</x:v>
      </x:c>
      <x:c r="K5" s="20">
        <x:v>78000</x:v>
      </x:c>
      <x:c r="L5" s="20">
        <x:f>K5*0.1</x:f>
        <x:v>7800</x:v>
      </x:c>
      <x:c r="M5" s="21">
        <x:f t="shared" ref="M5:M21" si="0">+K5+L5</x:f>
        <x:v>85800</x:v>
      </x:c>
      <x:c r="N5" s="22"/>
    </x:row>
    <x:row r="6" spans="1:14" ht="20.100000000000001" customHeight="1">
      <x:c r="A6" s="299"/>
      <x:c r="B6" s="3"/>
      <x:c r="C6" s="3"/>
      <x:c r="D6" s="4"/>
      <x:c r="E6" s="4"/>
      <x:c r="F6" s="5">
        <x:f>+D6+E6</x:f>
        <x:v>0</x:v>
      </x:c>
      <x:c r="G6" s="6"/>
      <x:c r="H6" s="299"/>
      <x:c r="I6" s="3" t="s">
        <x:v>867</x:v>
      </x:c>
      <x:c r="J6" s="3" t="s">
        <x:v>72</x:v>
      </x:c>
      <x:c r="K6" s="4">
        <x:v>32391300</x:v>
      </x:c>
      <x:c r="L6" s="4">
        <x:f t="shared" ref="L6:L14" si="1">K6*0.1</x:f>
        <x:v>3239130</x:v>
      </x:c>
      <x:c r="M6" s="5">
        <x:f t="shared" si="0"/>
        <x:v>35630430</x:v>
      </x:c>
      <x:c r="N6" s="6"/>
    </x:row>
    <x:row r="7" spans="1:14" ht="20.100000000000001" customHeight="1">
      <x:c r="A7" s="299"/>
      <x:c r="B7" s="3"/>
      <x:c r="C7" s="3"/>
      <x:c r="D7" s="4"/>
      <x:c r="E7" s="4"/>
      <x:c r="F7" s="5">
        <x:f>+D7+E7</x:f>
        <x:v>0</x:v>
      </x:c>
      <x:c r="G7" s="6"/>
      <x:c r="H7" s="299"/>
      <x:c r="I7" s="3" t="s">
        <x:v>34</x:v>
      </x:c>
      <x:c r="J7" s="3" t="s">
        <x:v>64</x:v>
      </x:c>
      <x:c r="K7" s="4">
        <x:v>1189715</x:v>
      </x:c>
      <x:c r="L7" s="4">
        <x:f>K7*0.1-2</x:f>
        <x:v>118969.5</x:v>
      </x:c>
      <x:c r="M7" s="5">
        <x:f t="shared" si="0"/>
        <x:v>1308684.5</x:v>
      </x:c>
      <x:c r="N7" s="6"/>
    </x:row>
    <x:row r="8" spans="1:14" ht="20.100000000000001" customHeight="1">
      <x:c r="A8" s="299"/>
      <x:c r="B8" s="3"/>
      <x:c r="C8" s="3"/>
      <x:c r="D8" s="4"/>
      <x:c r="E8" s="4"/>
      <x:c r="F8" s="5">
        <x:f t="shared" ref="F8:F14" si="2">+D8+E8</x:f>
        <x:v>0</x:v>
      </x:c>
      <x:c r="G8" s="6"/>
      <x:c r="H8" s="299"/>
      <x:c r="I8" s="3" t="s">
        <x:v>840</x:v>
      </x:c>
      <x:c r="J8" s="3" t="s">
        <x:v>659</x:v>
      </x:c>
      <x:c r="K8" s="4">
        <x:v>696400</x:v>
      </x:c>
      <x:c r="L8" s="4">
        <x:f t="shared" si="1"/>
        <x:v>69640</x:v>
      </x:c>
      <x:c r="M8" s="5">
        <x:f t="shared" si="0"/>
        <x:v>766040</x:v>
      </x:c>
      <x:c r="N8" s="6"/>
    </x:row>
    <x:row r="9" spans="1:14" ht="20.100000000000001" customHeight="1">
      <x:c r="A9" s="299"/>
      <x:c r="B9" s="3"/>
      <x:c r="C9" s="3"/>
      <x:c r="D9" s="4"/>
      <x:c r="E9" s="4"/>
      <x:c r="F9" s="5">
        <x:f t="shared" si="2"/>
        <x:v>0</x:v>
      </x:c>
      <x:c r="G9" s="6"/>
      <x:c r="H9" s="299"/>
      <x:c r="I9" s="3" t="s">
        <x:v>907</x:v>
      </x:c>
      <x:c r="J9" s="3" t="s">
        <x:v>894</x:v>
      </x:c>
      <x:c r="K9" s="4">
        <x:v>150000</x:v>
      </x:c>
      <x:c r="L9" s="4">
        <x:f t="shared" si="1"/>
        <x:v>15000</x:v>
      </x:c>
      <x:c r="M9" s="5">
        <x:f t="shared" si="0"/>
        <x:v>165000</x:v>
      </x:c>
      <x:c r="N9" s="6"/>
    </x:row>
    <x:row r="10" spans="1:14" ht="20.100000000000001" customHeight="1">
      <x:c r="A10" s="299"/>
      <x:c r="B10" s="3"/>
      <x:c r="C10" s="3"/>
      <x:c r="D10" s="4"/>
      <x:c r="E10" s="4"/>
      <x:c r="F10" s="5">
        <x:f t="shared" si="2"/>
        <x:v>0</x:v>
      </x:c>
      <x:c r="G10" s="6"/>
      <x:c r="H10" s="299"/>
      <x:c r="I10" s="3" t="s">
        <x:v>1705</x:v>
      </x:c>
      <x:c r="J10" s="3" t="s">
        <x:v>1056</x:v>
      </x:c>
      <x:c r="K10" s="4">
        <x:v>238000</x:v>
      </x:c>
      <x:c r="L10" s="4">
        <x:f t="shared" si="1"/>
        <x:v>23800</x:v>
      </x:c>
      <x:c r="M10" s="5">
        <x:f t="shared" si="0"/>
        <x:v>261800</x:v>
      </x:c>
      <x:c r="N10" s="6"/>
    </x:row>
    <x:row r="11" spans="1:14" ht="20.100000000000001" customHeight="1">
      <x:c r="A11" s="299"/>
      <x:c r="B11" s="3"/>
      <x:c r="C11" s="3"/>
      <x:c r="D11" s="4"/>
      <x:c r="E11" s="4"/>
      <x:c r="F11" s="5">
        <x:f t="shared" si="2"/>
        <x:v>0</x:v>
      </x:c>
      <x:c r="G11" s="6"/>
      <x:c r="H11" s="299"/>
      <x:c r="I11" s="3" t="s">
        <x:v>864</x:v>
      </x:c>
      <x:c r="J11" s="3" t="s">
        <x:v>1718</x:v>
      </x:c>
      <x:c r="K11" s="4">
        <x:v>3154580</x:v>
      </x:c>
      <x:c r="L11" s="4">
        <x:f t="shared" si="1"/>
        <x:v>315458</x:v>
      </x:c>
      <x:c r="M11" s="5">
        <x:f t="shared" si="0"/>
        <x:v>3470038</x:v>
      </x:c>
      <x:c r="N11" s="6"/>
    </x:row>
    <x:row r="12" spans="1:14" ht="20.100000000000001" customHeight="1">
      <x:c r="A12" s="299"/>
      <x:c r="B12" s="3"/>
      <x:c r="C12" s="3"/>
      <x:c r="D12" s="44"/>
      <x:c r="E12" s="44"/>
      <x:c r="F12" s="45">
        <x:f t="shared" si="2"/>
        <x:v>0</x:v>
      </x:c>
      <x:c r="G12" s="6"/>
      <x:c r="H12" s="299"/>
      <x:c r="I12" s="3" t="s">
        <x:v>976</x:v>
      </x:c>
      <x:c r="J12" s="3" t="s">
        <x:v>337</x:v>
      </x:c>
      <x:c r="K12" s="4">
        <x:v>950000</x:v>
      </x:c>
      <x:c r="L12" s="4">
        <x:f t="shared" si="1"/>
        <x:v>95000</x:v>
      </x:c>
      <x:c r="M12" s="5">
        <x:f t="shared" si="0"/>
        <x:v>1045000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5">
        <x:f t="shared" si="2"/>
        <x:v>0</x:v>
      </x:c>
      <x:c r="G13" s="6"/>
      <x:c r="H13" s="299"/>
      <x:c r="I13" s="3" t="s">
        <x:v>1042</x:v>
      </x:c>
      <x:c r="J13" s="3" t="s">
        <x:v>655</x:v>
      </x:c>
      <x:c r="K13" s="4">
        <x:v>3000000</x:v>
      </x:c>
      <x:c r="L13" s="4">
        <x:f t="shared" si="1"/>
        <x:v>300000</x:v>
      </x:c>
      <x:c r="M13" s="5">
        <x:f t="shared" si="0"/>
        <x:v>3300000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2"/>
        <x:v>0</x:v>
      </x:c>
      <x:c r="G14" s="6"/>
      <x:c r="H14" s="300"/>
      <x:c r="I14" s="3" t="s">
        <x:v>846</x:v>
      </x:c>
      <x:c r="J14" s="3" t="s">
        <x:v>7</x:v>
      </x:c>
      <x:c r="K14" s="4">
        <x:v>491800</x:v>
      </x:c>
      <x:c r="L14" s="4">
        <x:f t="shared" si="1"/>
        <x:v>49180</x:v>
      </x:c>
      <x:c r="M14" s="5">
        <x:f t="shared" si="0"/>
        <x:v>540980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0</x:v>
      </x:c>
      <x:c r="E15" s="9">
        <x:f>SUM(E5:E14)</x:f>
        <x:v>0</x:v>
      </x:c>
      <x:c r="F15" s="10">
        <x:f>SUM(F5:F14)</x:f>
        <x:v>0</x:v>
      </x:c>
      <x:c r="G15" s="11"/>
      <x:c r="H15" s="7"/>
      <x:c r="I15" s="8"/>
      <x:c r="J15" s="8"/>
      <x:c r="K15" s="9">
        <x:f>SUM(K5:K14)</x:f>
        <x:v>42339795</x:v>
      </x:c>
      <x:c r="L15" s="9">
        <x:f>SUM(L5:L14)</x:f>
        <x:v>4233977.5</x:v>
      </x:c>
      <x:c r="M15" s="10">
        <x:f>SUM(M5:M14)</x:f>
        <x:v>46573772.5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/>
      <x:c r="D16" s="44">
        <x:v>3300000</x:v>
      </x:c>
      <x:c r="E16" s="44"/>
      <x:c r="F16" s="45">
        <x:f t="shared" ref="F16:F21" si="3">+D16+E16</x:f>
        <x:v>3300000</x:v>
      </x:c>
      <x:c r="G16" s="37"/>
      <x:c r="H16" s="301" t="s">
        <x:v>153</x:v>
      </x:c>
      <x:c r="I16" s="3" t="s">
        <x:v>1677</x:v>
      </x:c>
      <x:c r="J16" s="3"/>
      <x:c r="K16" s="4">
        <x:v>26420000</x:v>
      </x:c>
      <x:c r="L16" s="4"/>
      <x:c r="M16" s="5">
        <x:f t="shared" si="0"/>
        <x:v>26420000</x:v>
      </x:c>
      <x:c r="N16" s="6"/>
    </x:row>
    <x:row r="17" spans="1:14" ht="20.100000000000001" customHeight="1">
      <x:c r="A17" s="299"/>
      <x:c r="B17" s="3"/>
      <x:c r="C17" s="3"/>
      <x:c r="D17" s="4"/>
      <x:c r="E17" s="4"/>
      <x:c r="F17" s="5">
        <x:f t="shared" si="3"/>
        <x:v>0</x:v>
      </x:c>
      <x:c r="G17" s="37"/>
      <x:c r="H17" s="299"/>
      <x:c r="I17" s="3" t="s">
        <x:v>999</x:v>
      </x:c>
      <x:c r="J17" s="3" t="s">
        <x:v>1002</x:v>
      </x:c>
      <x:c r="K17" s="4">
        <x:v>10832000</x:v>
      </x:c>
      <x:c r="L17" s="4">
        <x:f>+K17*0.1</x:f>
        <x:v>1083200</x:v>
      </x:c>
      <x:c r="M17" s="5">
        <x:f t="shared" si="0"/>
        <x:v>11915200</x:v>
      </x:c>
      <x:c r="N17" s="6"/>
    </x:row>
    <x:row r="18" spans="1:14" ht="20.100000000000001" customHeight="1">
      <x:c r="A18" s="299"/>
      <x:c r="B18" s="3"/>
      <x:c r="C18" s="3"/>
      <x:c r="D18" s="4"/>
      <x:c r="E18" s="4"/>
      <x:c r="F18" s="5">
        <x:f t="shared" si="3"/>
        <x:v>0</x:v>
      </x:c>
      <x:c r="G18" s="37"/>
      <x:c r="H18" s="299"/>
      <x:c r="I18" s="3" t="s">
        <x:v>1026</x:v>
      </x:c>
      <x:c r="J18" s="3" t="s">
        <x:v>1029</x:v>
      </x:c>
      <x:c r="K18" s="4">
        <x:v>12224000</x:v>
      </x:c>
      <x:c r="L18" s="4">
        <x:f>+K18*0.1</x:f>
        <x:v>1222400</x:v>
      </x:c>
      <x:c r="M18" s="5">
        <x:f t="shared" si="0"/>
        <x:v>13446400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 t="shared" si="3"/>
        <x:v>0</x:v>
      </x:c>
      <x:c r="G19" s="6"/>
      <x:c r="H19" s="299"/>
      <x:c r="I19" s="3"/>
      <x:c r="J19" s="3"/>
      <x:c r="K19" s="4"/>
      <x:c r="L19" s="4"/>
      <x:c r="M19" s="5">
        <x:f t="shared" si="0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3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3"/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3300000</x:v>
      </x:c>
      <x:c r="E22" s="9">
        <x:f>SUM(E16:E21)</x:f>
        <x:v>0</x:v>
      </x:c>
      <x:c r="F22" s="10">
        <x:f>SUM(F16:F21)</x:f>
        <x:v>3300000</x:v>
      </x:c>
      <x:c r="G22" s="11"/>
      <x:c r="H22" s="7"/>
      <x:c r="I22" s="8"/>
      <x:c r="J22" s="8"/>
      <x:c r="K22" s="9">
        <x:f>SUM(K16:K21)</x:f>
        <x:v>49476000</x:v>
      </x:c>
      <x:c r="L22" s="9">
        <x:f>SUM(L16:L21)</x:f>
        <x:v>2305600</x:v>
      </x:c>
      <x:c r="M22" s="10">
        <x:f>SUM(M16:M21)</x:f>
        <x:v>51781600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1010</x:v>
      </x:c>
      <x:c r="J23" s="3" t="s">
        <x:v>948</x:v>
      </x:c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857</x:v>
      </x:c>
      <x:c r="J24" s="3" t="s">
        <x:v>1006</x:v>
      </x:c>
      <x:c r="K24" s="4">
        <x:v>600000</x:v>
      </x:c>
      <x:c r="L24" s="4">
        <x:f>K24*0.1</x:f>
        <x:v>60000</x:v>
      </x:c>
      <x:c r="M24" s="5">
        <x:f>+K24+L24</x:f>
        <x:v>660000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600000</x:v>
      </x:c>
      <x:c r="L27" s="9">
        <x:f>SUM(L23:L26)</x:f>
        <x:v>60000</x:v>
      </x:c>
      <x:c r="M27" s="10">
        <x:f>SUM(M23:M26)</x:f>
        <x:v>660000</x:v>
      </x:c>
      <x:c r="N27" s="11"/>
    </x:row>
    <x:row r="28" spans="1:14" ht="20.100000000000001" customHeight="1">
      <x:c r="A28" s="301" t="s">
        <x:v>149</x:v>
      </x:c>
      <x:c r="B28" s="3"/>
      <x:c r="C28" s="3"/>
      <x:c r="D28" s="4"/>
      <x:c r="E28" s="4"/>
      <x:c r="F28" s="5">
        <x:f>+D28+E28</x:f>
        <x:v>0</x:v>
      </x:c>
      <x:c r="G28" s="6"/>
      <x:c r="H28" s="301" t="s">
        <x:v>149</x:v>
      </x:c>
      <x:c r="I28" s="3" t="s">
        <x:v>952</x:v>
      </x:c>
      <x:c r="J28" s="3" t="s">
        <x:v>28</x:v>
      </x:c>
      <x:c r="K28" s="4">
        <x:v>825000</x:v>
      </x:c>
      <x:c r="L28" s="4">
        <x:f>+K28*0.1</x:f>
        <x:v>82500</x:v>
      </x:c>
      <x:c r="M28" s="5">
        <x:f t="shared" ref="M28:M37" si="4">+K28+L28</x:f>
        <x:v>907500</x:v>
      </x:c>
      <x:c r="N28" s="6"/>
    </x:row>
    <x:row r="29" spans="1:14" ht="20.100000000000001" customHeight="1">
      <x:c r="A29" s="299"/>
      <x:c r="B29" s="3" t="s">
        <x:v>174</x:v>
      </x:c>
      <x:c r="C29" s="3" t="s">
        <x:v>941</x:v>
      </x:c>
      <x:c r="D29" s="4"/>
      <x:c r="E29" s="4"/>
      <x:c r="F29" s="5">
        <x:f>+D29+E29</x:f>
        <x:v>0</x:v>
      </x:c>
      <x:c r="G29" s="6"/>
      <x:c r="H29" s="299"/>
      <x:c r="I29" s="3" t="s">
        <x:v>959</x:v>
      </x:c>
      <x:c r="J29" s="3" t="s">
        <x:v>825</x:v>
      </x:c>
      <x:c r="K29" s="4">
        <x:v>1005000</x:v>
      </x:c>
      <x:c r="L29" s="4">
        <x:f>+K29*0.1</x:f>
        <x:v>100500</x:v>
      </x:c>
      <x:c r="M29" s="5">
        <x:f t="shared" si="4"/>
        <x:v>1105500</x:v>
      </x:c>
      <x:c r="N29" s="6"/>
    </x:row>
    <x:row r="30" spans="1:14" ht="20.100000000000001" customHeight="1">
      <x:c r="A30" s="299"/>
      <x:c r="B30" s="3" t="s">
        <x:v>947</x:v>
      </x:c>
      <x:c r="C30" s="3" t="s">
        <x:v>914</x:v>
      </x:c>
      <x:c r="D30" s="4"/>
      <x:c r="E30" s="4">
        <x:f>+D30*0.1</x:f>
        <x:v>0</x:v>
      </x:c>
      <x:c r="F30" s="5">
        <x:f>+D30+E30</x:f>
        <x:v>0</x:v>
      </x:c>
      <x:c r="G30" s="6"/>
      <x:c r="H30" s="299"/>
      <x:c r="I30" s="3" t="s">
        <x:v>186</x:v>
      </x:c>
      <x:c r="J30" s="3" t="s">
        <x:v>941</x:v>
      </x:c>
      <x:c r="K30" s="4">
        <x:v>550000</x:v>
      </x:c>
      <x:c r="L30" s="4"/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828</x:v>
      </x:c>
      <x:c r="C31" s="3" t="s">
        <x:v>167</x:v>
      </x:c>
      <x:c r="D31" s="4"/>
      <x:c r="E31" s="4">
        <x:f>+D31*0.1</x:f>
        <x:v>0</x:v>
      </x:c>
      <x:c r="F31" s="5">
        <x:f>+D31+E31</x:f>
        <x:v>0</x:v>
      </x:c>
      <x:c r="G31" s="6"/>
      <x:c r="H31" s="299"/>
      <x:c r="I31" s="3" t="s">
        <x:v>923</x:v>
      </x:c>
      <x:c r="J31" s="3" t="s">
        <x:v>896</x:v>
      </x:c>
      <x:c r="K31" s="4">
        <x:v>300000</x:v>
      </x:c>
      <x:c r="L31" s="4">
        <x:f>K31*0.1</x:f>
        <x:v>30000</x:v>
      </x:c>
      <x:c r="M31" s="5">
        <x:f t="shared" si="4"/>
        <x:v>330000</x:v>
      </x:c>
      <x:c r="N31" s="6"/>
    </x:row>
    <x:row r="32" spans="1:14" ht="20.100000000000001" customHeight="1">
      <x:c r="A32" s="299"/>
      <x:c r="B32" s="3" t="s">
        <x:v>169</x:v>
      </x:c>
      <x:c r="C32" s="3" t="s">
        <x:v>837</x:v>
      </x:c>
      <x:c r="D32" s="4">
        <x:v>306390</x:v>
      </x:c>
      <x:c r="E32" s="4"/>
      <x:c r="F32" s="5">
        <x:f t="shared" ref="F32:F37" si="5">+D32+E32</x:f>
        <x:v>306390</x:v>
      </x:c>
      <x:c r="G32" s="6"/>
      <x:c r="H32" s="299"/>
      <x:c r="I32" s="3" t="s">
        <x:v>1680</x:v>
      </x:c>
      <x:c r="J32" s="3" t="s">
        <x:v>1695</x:v>
      </x:c>
      <x:c r="K32" s="4">
        <x:v>130000</x:v>
      </x:c>
      <x:c r="L32" s="4">
        <x:f>K32*0.1</x:f>
        <x:v>13000</x:v>
      </x:c>
      <x:c r="M32" s="5">
        <x:f t="shared" si="4"/>
        <x:v>143000</x:v>
      </x:c>
      <x:c r="N32" s="6"/>
    </x:row>
    <x:row r="33" spans="1:14" ht="20.100000000000001" customHeight="1">
      <x:c r="A33" s="299"/>
      <x:c r="B33" s="3"/>
      <x:c r="C33" s="3"/>
      <x:c r="D33" s="44"/>
      <x:c r="E33" s="44"/>
      <x:c r="F33" s="45">
        <x:f t="shared" si="5"/>
        <x:v>0</x:v>
      </x:c>
      <x:c r="G33" s="6"/>
      <x:c r="H33" s="299"/>
      <x:c r="I33" s="3" t="s">
        <x:v>185</x:v>
      </x:c>
      <x:c r="J33" s="3" t="s">
        <x:v>149</x:v>
      </x:c>
      <x:c r="K33" s="4">
        <x:v>1471410</x:v>
      </x:c>
      <x:c r="L33" s="4">
        <x:v>7000</x:v>
      </x:c>
      <x:c r="M33" s="5">
        <x:f t="shared" si="4"/>
        <x:v>1478410</x:v>
      </x:c>
      <x:c r="N33" s="6"/>
    </x:row>
    <x:row r="34" spans="1:14" ht="20.100000000000001" customHeight="1">
      <x:c r="A34" s="299"/>
      <x:c r="B34" s="3"/>
      <x:c r="C34" s="3"/>
      <x:c r="D34" s="4"/>
      <x:c r="E34" s="4"/>
      <x:c r="F34" s="5">
        <x:f t="shared" si="5"/>
        <x:v>0</x:v>
      </x:c>
      <x:c r="G34" s="6"/>
      <x:c r="H34" s="299"/>
      <x:c r="I34" s="3" t="s">
        <x:v>1699</x:v>
      </x:c>
      <x:c r="J34" s="3" t="s">
        <x:v>167</x:v>
      </x:c>
      <x:c r="K34" s="4"/>
      <x:c r="L34" s="4">
        <x:f>K34*0.1</x:f>
        <x:v>0</x:v>
      </x:c>
      <x:c r="M34" s="5">
        <x:f t="shared" si="4"/>
        <x:v>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5"/>
        <x:v>0</x:v>
      </x:c>
      <x:c r="G35" s="6"/>
      <x:c r="H35" s="299"/>
      <x:c r="I35" s="3" t="s">
        <x:v>994</x:v>
      </x:c>
      <x:c r="J35" s="3" t="s">
        <x:v>8</x:v>
      </x:c>
      <x:c r="K35" s="4">
        <x:v>424546</x:v>
      </x:c>
      <x:c r="L35" s="4">
        <x:v>42454</x:v>
      </x:c>
      <x:c r="M35" s="5">
        <x:f t="shared" si="4"/>
        <x:v>467000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306390</x:v>
      </x:c>
      <x:c r="E38" s="9">
        <x:f>SUM(E28:E37)</x:f>
        <x:v>0</x:v>
      </x:c>
      <x:c r="F38" s="10">
        <x:f>SUM(F28:F37)</x:f>
        <x:v>306390</x:v>
      </x:c>
      <x:c r="G38" s="11"/>
      <x:c r="H38" s="7"/>
      <x:c r="I38" s="8"/>
      <x:c r="J38" s="8"/>
      <x:c r="K38" s="9">
        <x:f>SUM(K28:K37)</x:f>
        <x:v>4705956</x:v>
      </x:c>
      <x:c r="L38" s="9">
        <x:f>SUM(L28:L37)</x:f>
        <x:v>275454</x:v>
      </x:c>
      <x:c r="M38" s="10">
        <x:f>SUM(M28:M37)</x:f>
        <x:v>4981410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3606390</x:v>
      </x:c>
      <x:c r="E39" s="14">
        <x:f>+E15+E22+E27+E38</x:f>
        <x:v>0</x:v>
      </x:c>
      <x:c r="F39" s="15">
        <x:f>+F15+F22+F27+F38</x:f>
        <x:v>3606390</x:v>
      </x:c>
      <x:c r="G39" s="16"/>
      <x:c r="H39" s="12"/>
      <x:c r="I39" s="13"/>
      <x:c r="J39" s="13"/>
      <x:c r="K39" s="14">
        <x:f>+K15+K22+K27+K38</x:f>
        <x:v>97121751</x:v>
      </x:c>
      <x:c r="L39" s="14">
        <x:f>+L15+L22+L27+L38</x:f>
        <x:v>6875031.5</x:v>
      </x:c>
      <x:c r="M39" s="15">
        <x:f>+M15+M22+M27+M38</x:f>
        <x:v>103996782.5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-3606390</x:v>
      </x:c>
      <x:c r="E40" s="25">
        <x:f>+E4-E39</x:f>
        <x:v>0</x:v>
      </x:c>
      <x:c r="F40" s="26">
        <x:f>+F4-F39</x:f>
        <x:v>-3606390</x:v>
      </x:c>
      <x:c r="G40" s="27"/>
      <x:c r="H40" s="23"/>
      <x:c r="I40" s="24"/>
      <x:c r="J40" s="24"/>
      <x:c r="K40" s="25">
        <x:f>+K4-K39</x:f>
        <x:v>46878249</x:v>
      </x:c>
      <x:c r="L40" s="25">
        <x:f>+L4-L39</x:f>
        <x:v>-6875031.5</x:v>
      </x:c>
      <x:c r="M40" s="26">
        <x:f>+M4-M39</x:f>
        <x:v>40003217.5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86" t="s">
        <x:v>144</x:v>
      </x:c>
      <x:c r="C42" s="86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86" t="s">
        <x:v>144</x:v>
      </x:c>
      <x:c r="J42" s="86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85" t="s">
        <x:v>151</x:v>
      </x:c>
      <x:c r="B43" s="38" t="s">
        <x:v>1679</x:v>
      </x:c>
      <x:c r="C43" s="38" t="s">
        <x:v>1030</x:v>
      </x:c>
      <x:c r="D43" s="39"/>
      <x:c r="E43" s="39"/>
      <x:c r="F43" s="40">
        <x:f>+D43+E43</x:f>
        <x:v>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v>94700000</x:v>
      </x:c>
      <x:c r="L43" s="39">
        <x:v>1050000</x:v>
      </x:c>
      <x:c r="M43" s="40">
        <x:f>+K43+L43</x:f>
        <x:v>95750000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 t="s">
        <x:v>361</x:v>
      </x:c>
      <x:c r="D44" s="20">
        <x:v>759280</x:v>
      </x:c>
      <x:c r="E44" s="20">
        <x:f t="shared" ref="E44:E49" si="6">D44*0.1</x:f>
        <x:v>75928</x:v>
      </x:c>
      <x:c r="F44" s="21">
        <x:f>+D44+E44</x:f>
        <x:v>835208</x:v>
      </x:c>
      <x:c r="G44" s="22"/>
      <x:c r="H44" s="298" t="s">
        <x:v>148</x:v>
      </x:c>
      <x:c r="I44" s="19" t="s">
        <x:v>838</x:v>
      </x:c>
      <x:c r="J44" s="19" t="s">
        <x:v>1055</x:v>
      </x:c>
      <x:c r="K44" s="20">
        <x:v>296000</x:v>
      </x:c>
      <x:c r="L44" s="20">
        <x:f>K44*0.1</x:f>
        <x:v>29600</x:v>
      </x:c>
      <x:c r="M44" s="21">
        <x:f t="shared" ref="M44:M58" si="7">+K44+L44</x:f>
        <x:v>325600</x:v>
      </x:c>
      <x:c r="N44" s="22"/>
    </x:row>
    <x:row r="45" spans="1:14" ht="20.100000000000001" customHeight="1">
      <x:c r="A45" s="299"/>
      <x:c r="B45" s="3" t="s">
        <x:v>21</x:v>
      </x:c>
      <x:c r="C45" s="3" t="s">
        <x:v>1691</x:v>
      </x:c>
      <x:c r="D45" s="4">
        <x:v>696000</x:v>
      </x:c>
      <x:c r="E45" s="4">
        <x:f t="shared" si="6"/>
        <x:v>69600</x:v>
      </x:c>
      <x:c r="F45" s="5">
        <x:f>+D45+E45</x:f>
        <x:v>765600</x:v>
      </x:c>
      <x:c r="G45" s="6"/>
      <x:c r="H45" s="299"/>
      <x:c r="I45" s="3" t="s">
        <x:v>34</x:v>
      </x:c>
      <x:c r="J45" s="3" t="s">
        <x:v>23</x:v>
      </x:c>
      <x:c r="K45" s="4">
        <x:v>138500</x:v>
      </x:c>
      <x:c r="L45" s="4">
        <x:f>K45*0.1</x:f>
        <x:v>13850</x:v>
      </x:c>
      <x:c r="M45" s="5">
        <x:f t="shared" si="7"/>
        <x:v>152350</x:v>
      </x:c>
      <x:c r="N45" s="6"/>
    </x:row>
    <x:row r="46" spans="1:14" ht="20.100000000000001" customHeight="1">
      <x:c r="A46" s="299"/>
      <x:c r="B46" s="3" t="s">
        <x:v>892</x:v>
      </x:c>
      <x:c r="C46" s="3" t="s">
        <x:v>337</x:v>
      </x:c>
      <x:c r="D46" s="4">
        <x:v>360000</x:v>
      </x:c>
      <x:c r="E46" s="4">
        <x:f t="shared" si="6"/>
        <x:v>36000</x:v>
      </x:c>
      <x:c r="F46" s="5">
        <x:f>+D46+E46</x:f>
        <x:v>396000</x:v>
      </x:c>
      <x:c r="G46" s="6"/>
      <x:c r="H46" s="299"/>
      <x:c r="I46" s="3" t="s">
        <x:v>21</x:v>
      </x:c>
      <x:c r="J46" s="3" t="s">
        <x:v>338</x:v>
      </x:c>
      <x:c r="K46" s="4">
        <x:v>28006563</x:v>
      </x:c>
      <x:c r="L46" s="4">
        <x:f>K46*0.1-10</x:f>
        <x:v>2800646.3000000003</x:v>
      </x:c>
      <x:c r="M46" s="5">
        <x:f t="shared" si="7"/>
        <x:v>30807209.300000001</x:v>
      </x:c>
      <x:c r="N46" s="6"/>
    </x:row>
    <x:row r="47" spans="1:14" ht="20.100000000000001" customHeight="1">
      <x:c r="A47" s="299"/>
      <x:c r="B47" s="3" t="s">
        <x:v>846</x:v>
      </x:c>
      <x:c r="C47" s="3" t="s">
        <x:v>660</x:v>
      </x:c>
      <x:c r="D47" s="4">
        <x:v>67000</x:v>
      </x:c>
      <x:c r="E47" s="4">
        <x:f t="shared" si="6"/>
        <x:v>6700</x:v>
      </x:c>
      <x:c r="F47" s="5">
        <x:f>+D47+E47</x:f>
        <x:v>73700</x:v>
      </x:c>
      <x:c r="G47" s="6"/>
      <x:c r="H47" s="299"/>
      <x:c r="I47" s="3" t="s">
        <x:v>840</x:v>
      </x:c>
      <x:c r="J47" s="3" t="s">
        <x:v>83</x:v>
      </x:c>
      <x:c r="K47" s="4">
        <x:v>201000</x:v>
      </x:c>
      <x:c r="L47" s="4">
        <x:f t="shared" ref="L47:L53" si="8">K47*0.1</x:f>
        <x:v>20100</x:v>
      </x:c>
      <x:c r="M47" s="5">
        <x:f t="shared" si="7"/>
        <x:v>221100</x:v>
      </x:c>
      <x:c r="N47" s="6"/>
    </x:row>
    <x:row r="48" spans="1:14" ht="20.100000000000001" customHeight="1">
      <x:c r="A48" s="299"/>
      <x:c r="B48" s="3"/>
      <x:c r="C48" s="3"/>
      <x:c r="D48" s="4"/>
      <x:c r="E48" s="4">
        <x:f t="shared" si="6"/>
        <x:v>0</x:v>
      </x:c>
      <x:c r="F48" s="5">
        <x:f t="shared" ref="F48:F57" si="9">+D48+E48</x:f>
        <x:v>0</x:v>
      </x:c>
      <x:c r="G48" s="6"/>
      <x:c r="H48" s="299"/>
      <x:c r="I48" s="3" t="s">
        <x:v>1058</x:v>
      </x:c>
      <x:c r="J48" s="3" t="s">
        <x:v>81</x:v>
      </x:c>
      <x:c r="K48" s="4">
        <x:v>3403900</x:v>
      </x:c>
      <x:c r="L48" s="4">
        <x:f t="shared" si="8"/>
        <x:v>340390</x:v>
      </x:c>
      <x:c r="M48" s="5">
        <x:f t="shared" si="7"/>
        <x:v>3744290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6"/>
        <x:v>0</x:v>
      </x:c>
      <x:c r="F49" s="5">
        <x:f t="shared" si="9"/>
        <x:v>0</x:v>
      </x:c>
      <x:c r="G49" s="6"/>
      <x:c r="H49" s="299"/>
      <x:c r="I49" s="3" t="s">
        <x:v>967</x:v>
      </x:c>
      <x:c r="J49" s="3" t="s">
        <x:v>969</x:v>
      </x:c>
      <x:c r="K49" s="4">
        <x:v>210000</x:v>
      </x:c>
      <x:c r="L49" s="4">
        <x:f t="shared" si="8"/>
        <x:v>21000</x:v>
      </x:c>
      <x:c r="M49" s="5">
        <x:f t="shared" si="7"/>
        <x:v>231000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10">+INT(D50*0.1)</x:f>
        <x:v>0</x:v>
      </x:c>
      <x:c r="F50" s="5">
        <x:f t="shared" si="9"/>
        <x:v>0</x:v>
      </x:c>
      <x:c r="G50" s="6"/>
      <x:c r="H50" s="299"/>
      <x:c r="I50" s="3" t="s">
        <x:v>1039</x:v>
      </x:c>
      <x:c r="J50" s="3" t="s">
        <x:v>1064</x:v>
      </x:c>
      <x:c r="K50" s="4">
        <x:v>240000</x:v>
      </x:c>
      <x:c r="L50" s="4">
        <x:f t="shared" si="8"/>
        <x:v>24000</x:v>
      </x:c>
      <x:c r="M50" s="5">
        <x:f t="shared" si="7"/>
        <x:v>264000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10"/>
        <x:v>0</x:v>
      </x:c>
      <x:c r="F51" s="5">
        <x:f t="shared" si="9"/>
        <x:v>0</x:v>
      </x:c>
      <x:c r="G51" s="6"/>
      <x:c r="H51" s="299"/>
      <x:c r="I51" s="3" t="s">
        <x:v>1052</x:v>
      </x:c>
      <x:c r="J51" s="3" t="s">
        <x:v>1709</x:v>
      </x:c>
      <x:c r="K51" s="4">
        <x:v>9511500</x:v>
      </x:c>
      <x:c r="L51" s="4">
        <x:f t="shared" si="8"/>
        <x:v>951150</x:v>
      </x:c>
      <x:c r="M51" s="5">
        <x:f t="shared" si="7"/>
        <x:v>10462650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10"/>
        <x:v>0</x:v>
      </x:c>
      <x:c r="F52" s="5">
        <x:f t="shared" si="9"/>
        <x:v>0</x:v>
      </x:c>
      <x:c r="G52" s="6"/>
      <x:c r="H52" s="299"/>
      <x:c r="I52" s="3" t="s">
        <x:v>1043</x:v>
      </x:c>
      <x:c r="J52" s="3" t="s">
        <x:v>1037</x:v>
      </x:c>
      <x:c r="K52" s="4">
        <x:v>8095000</x:v>
      </x:c>
      <x:c r="L52" s="4">
        <x:f t="shared" si="8"/>
        <x:v>809500</x:v>
      </x:c>
      <x:c r="M52" s="5">
        <x:f t="shared" si="7"/>
        <x:v>8904500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0"/>
        <x:v>0</x:v>
      </x:c>
      <x:c r="F53" s="5">
        <x:f t="shared" si="9"/>
        <x:v>0</x:v>
      </x:c>
      <x:c r="G53" s="6"/>
      <x:c r="H53" s="299"/>
      <x:c r="I53" s="3" t="s">
        <x:v>846</x:v>
      </x:c>
      <x:c r="J53" s="3" t="s">
        <x:v>662</x:v>
      </x:c>
      <x:c r="K53" s="4">
        <x:v>984400</x:v>
      </x:c>
      <x:c r="L53" s="4">
        <x:f t="shared" si="8"/>
        <x:v>98440</x:v>
      </x:c>
      <x:c r="M53" s="5">
        <x:f t="shared" si="7"/>
        <x:v>1082840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0"/>
        <x:v>0</x:v>
      </x:c>
      <x:c r="F54" s="5">
        <x:f t="shared" si="9"/>
        <x:v>0</x:v>
      </x:c>
      <x:c r="G54" s="6"/>
      <x:c r="H54" s="299"/>
      <x:c r="I54" s="3"/>
      <x:c r="J54" s="3"/>
      <x:c r="K54" s="4"/>
      <x:c r="L54" s="4">
        <x:f>+K54*0.1</x:f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10"/>
        <x:v>0</x:v>
      </x:c>
      <x:c r="F55" s="5">
        <x:f t="shared" si="9"/>
        <x:v>0</x:v>
      </x:c>
      <x:c r="G55" s="6"/>
      <x:c r="H55" s="299"/>
      <x:c r="I55" s="3"/>
      <x:c r="J55" s="3"/>
      <x:c r="K55" s="4"/>
      <x:c r="L55" s="4">
        <x:f>+K55*0.1</x:f>
        <x:v>0</x:v>
      </x:c>
      <x:c r="M55" s="5">
        <x:f t="shared" si="7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0"/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>+K56*0.1</x:f>
        <x:v>0</x:v>
      </x:c>
      <x:c r="M56" s="5">
        <x:f t="shared" si="7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0"/>
        <x:v>0</x:v>
      </x:c>
      <x:c r="F57" s="5">
        <x:f t="shared" si="9"/>
        <x:v>0</x:v>
      </x:c>
      <x:c r="G57" s="6"/>
      <x:c r="H57" s="299"/>
      <x:c r="I57" s="3"/>
      <x:c r="J57" s="3"/>
      <x:c r="K57" s="4"/>
      <x:c r="L57" s="4">
        <x:f>+K57*0.1</x:f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>+K58*0.1</x:f>
        <x:v>0</x:v>
      </x:c>
      <x:c r="M58" s="5">
        <x:f t="shared" si="7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1882280</x:v>
      </x:c>
      <x:c r="E59" s="9">
        <x:f>SUM(E44:E58)</x:f>
        <x:v>188228</x:v>
      </x:c>
      <x:c r="F59" s="10">
        <x:f>SUM(F44:F58)</x:f>
        <x:v>2070508</x:v>
      </x:c>
      <x:c r="G59" s="11"/>
      <x:c r="H59" s="7"/>
      <x:c r="I59" s="8"/>
      <x:c r="J59" s="8"/>
      <x:c r="K59" s="9">
        <x:f>SUM(K44:K58)</x:f>
        <x:v>51086863</x:v>
      </x:c>
      <x:c r="L59" s="9">
        <x:f>SUM(L44:L58)</x:f>
        <x:v>5108676.3000000007</x:v>
      </x:c>
      <x:c r="M59" s="10">
        <x:f>SUM(M44:M58)</x:f>
        <x:v>56195539.299999997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/>
      <x:c r="D60" s="44">
        <x:v>7910000</x:v>
      </x:c>
      <x:c r="E60" s="44"/>
      <x:c r="F60" s="45">
        <x:f>+D60+E60</x:f>
        <x:v>7910000</x:v>
      </x:c>
      <x:c r="G60" s="37"/>
      <x:c r="H60" s="301" t="s">
        <x:v>153</x:v>
      </x:c>
      <x:c r="I60" s="3" t="s">
        <x:v>1677</x:v>
      </x:c>
      <x:c r="J60" s="3"/>
      <x:c r="K60" s="4">
        <x:v>37345000</x:v>
      </x:c>
      <x:c r="L60" s="4"/>
      <x:c r="M60" s="5">
        <x:f>+K60+L60</x:f>
        <x:v>37345000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7910000</x:v>
      </x:c>
      <x:c r="E64" s="9">
        <x:f>SUM(E60:E63)</x:f>
        <x:v>0</x:v>
      </x:c>
      <x:c r="F64" s="10">
        <x:f>SUM(F60:F63)</x:f>
        <x:v>7910000</x:v>
      </x:c>
      <x:c r="G64" s="11"/>
      <x:c r="H64" s="7"/>
      <x:c r="I64" s="8"/>
      <x:c r="J64" s="8"/>
      <x:c r="K64" s="9">
        <x:f>SUM(K60:K63)</x:f>
        <x:v>37345000</x:v>
      </x:c>
      <x:c r="L64" s="9">
        <x:f>SUM(L60:L63)</x:f>
        <x:v>0</x:v>
      </x:c>
      <x:c r="M64" s="10">
        <x:f>SUM(M60:M63)</x:f>
        <x:v>37345000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 t="s">
        <x:v>1040</x:v>
      </x:c>
      <x:c r="J65" s="3" t="s">
        <x:v>668</x:v>
      </x:c>
      <x:c r="K65" s="4">
        <x:v>1500000</x:v>
      </x:c>
      <x:c r="L65" s="4">
        <x:f>+K65*0.1</x:f>
        <x:v>150000</x:v>
      </x:c>
      <x:c r="M65" s="5">
        <x:f>+K65+L65</x:f>
        <x:v>1650000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 t="s">
        <x:v>1041</x:v>
      </x:c>
      <x:c r="J66" s="3" t="s">
        <x:v>1075</x:v>
      </x:c>
      <x:c r="K66" s="4">
        <x:v>300000</x:v>
      </x:c>
      <x:c r="L66" s="4">
        <x:f>+K66*0.1</x:f>
        <x:v>30000</x:v>
      </x:c>
      <x:c r="M66" s="5">
        <x:f>+K66+L66</x:f>
        <x:v>330000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1800000</x:v>
      </x:c>
      <x:c r="L69" s="9">
        <x:f>SUM(L65:L68)</x:f>
        <x:v>180000</x:v>
      </x:c>
      <x:c r="M69" s="10">
        <x:f>SUM(M65:M68)</x:f>
        <x:v>1980000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888310</x:v>
      </x:c>
      <x:c r="L70" s="4"/>
      <x:c r="M70" s="5">
        <x:f t="shared" ref="M70:M77" si="11">+K70+L70</x:f>
        <x:v>888310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99500</x:v>
      </x:c>
      <x:c r="E71" s="4"/>
      <x:c r="F71" s="5">
        <x:f t="shared" ref="F71:F79" si="12">+D71+E71</x:f>
        <x:v>99500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1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>
        <x:v>43000</x:v>
      </x:c>
      <x:c r="E72" s="4">
        <x:f>+D72*0.1</x:f>
        <x:v>4300</x:v>
      </x:c>
      <x:c r="F72" s="5">
        <x:f t="shared" si="12"/>
        <x:v>47300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1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2"/>
        <x:v>110000</x:v>
      </x:c>
      <x:c r="G73" s="6"/>
      <x:c r="H73" s="299"/>
      <x:c r="I73" s="3" t="s">
        <x:v>945</x:v>
      </x:c>
      <x:c r="J73" s="3" t="s">
        <x:v>962</x:v>
      </x:c>
      <x:c r="K73" s="4">
        <x:v>1290000</x:v>
      </x:c>
      <x:c r="L73" s="4">
        <x:f>+K73*0.1</x:f>
        <x:v>129000</x:v>
      </x:c>
      <x:c r="M73" s="5">
        <x:f t="shared" si="11"/>
        <x:v>1419000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215000</x:v>
      </x:c>
      <x:c r="E74" s="4">
        <x:f>D74*0.1</x:f>
        <x:v>21500</x:v>
      </x:c>
      <x:c r="F74" s="5">
        <x:f t="shared" si="12"/>
        <x:v>236500</x:v>
      </x:c>
      <x:c r="G74" s="6"/>
      <x:c r="H74" s="299"/>
      <x:c r="I74" s="3" t="s">
        <x:v>1038</x:v>
      </x:c>
      <x:c r="J74" s="3" t="s">
        <x:v>167</x:v>
      </x:c>
      <x:c r="K74" s="4">
        <x:v>137000</x:v>
      </x:c>
      <x:c r="L74" s="4">
        <x:f>+K74*0.1</x:f>
        <x:v>13700</x:v>
      </x:c>
      <x:c r="M74" s="5">
        <x:f t="shared" si="11"/>
        <x:v>150700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2"/>
        <x:v>0</x:v>
      </x:c>
      <x:c r="G75" s="6"/>
      <x:c r="H75" s="299"/>
      <x:c r="I75" s="3" t="s">
        <x:v>1080</x:v>
      </x:c>
      <x:c r="J75" s="3" t="s">
        <x:v>1088</x:v>
      </x:c>
      <x:c r="K75" s="4">
        <x:v>80000</x:v>
      </x:c>
      <x:c r="L75" s="4">
        <x:f>+K75*0.1</x:f>
        <x:v>8000</x:v>
      </x:c>
      <x:c r="M75" s="5">
        <x:f t="shared" si="11"/>
        <x:v>88000</x:v>
      </x:c>
      <x:c r="N75" s="6" t="s">
        <x:v>1099</x:v>
      </x:c>
    </x:row>
    <x:row r="76" spans="1:14" ht="20.100000000000001" customHeight="1">
      <x:c r="A76" s="299"/>
      <x:c r="B76" s="3"/>
      <x:c r="C76" s="3"/>
      <x:c r="D76" s="4"/>
      <x:c r="E76" s="4">
        <x:f>+D76*0.1</x:f>
        <x:v>0</x:v>
      </x:c>
      <x:c r="F76" s="5">
        <x:f t="shared" si="12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2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907500</x:v>
      </x:c>
      <x:c r="E80" s="9">
        <x:f>SUM(E70:E79)</x:f>
        <x:v>80800</x:v>
      </x:c>
      <x:c r="F80" s="10">
        <x:f>SUM(F70:F79)</x:f>
        <x:v>988300</x:v>
      </x:c>
      <x:c r="G80" s="11"/>
      <x:c r="H80" s="7"/>
      <x:c r="I80" s="8"/>
      <x:c r="J80" s="8"/>
      <x:c r="K80" s="9">
        <x:f>SUM(K70:K79)</x:f>
        <x:v>2803180</x:v>
      </x:c>
      <x:c r="L80" s="9">
        <x:f>SUM(L70:L79)</x:f>
        <x:v>154700</x:v>
      </x:c>
      <x:c r="M80" s="10">
        <x:f>SUM(M70:M79)</x:f>
        <x:v>2957880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10699780</x:v>
      </x:c>
      <x:c r="E81" s="14">
        <x:f>+E59+E64+E69+E80</x:f>
        <x:v>269028</x:v>
      </x:c>
      <x:c r="F81" s="15">
        <x:f>+F59+F64+F69+F80</x:f>
        <x:v>10968808</x:v>
      </x:c>
      <x:c r="G81" s="16"/>
      <x:c r="H81" s="12"/>
      <x:c r="I81" s="13"/>
      <x:c r="J81" s="13"/>
      <x:c r="K81" s="14">
        <x:f>+K59+K64+K69+K80</x:f>
        <x:v>93035043</x:v>
      </x:c>
      <x:c r="L81" s="14">
        <x:f>+L59+L64+L69+L80</x:f>
        <x:v>5443376.3000000007</x:v>
      </x:c>
      <x:c r="M81" s="15">
        <x:f>+M59+M64+M69+M80</x:f>
        <x:v>98478419.299999997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-10699780</x:v>
      </x:c>
      <x:c r="E82" s="25">
        <x:f>+E43-E81</x:f>
        <x:v>-269028</x:v>
      </x:c>
      <x:c r="F82" s="26">
        <x:f>+F43-F81</x:f>
        <x:v>-10968808</x:v>
      </x:c>
      <x:c r="G82" s="27"/>
      <x:c r="H82" s="23"/>
      <x:c r="I82" s="24"/>
      <x:c r="J82" s="24"/>
      <x:c r="K82" s="25">
        <x:f>+K43-K81</x:f>
        <x:v>1664957</x:v>
      </x:c>
      <x:c r="L82" s="25">
        <x:f>+L43-L81</x:f>
        <x:v>-4393376.3000000007</x:v>
      </x:c>
      <x:c r="M82" s="26">
        <x:f>+M43-M81</x:f>
        <x:v>-2728419.299999997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86" t="s">
        <x:v>144</x:v>
      </x:c>
      <x:c r="C84" s="86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86" t="s">
        <x:v>144</x:v>
      </x:c>
      <x:c r="J84" s="86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85" t="s">
        <x:v>151</x:v>
      </x:c>
      <x:c r="B85" s="38" t="s">
        <x:v>1679</x:v>
      </x:c>
      <x:c r="C85" s="38" t="s">
        <x:v>1030</x:v>
      </x:c>
      <x:c r="D85" s="39">
        <x:v>15831694</x:v>
      </x:c>
      <x:c r="E85" s="39">
        <x:v>168306</x:v>
      </x:c>
      <x:c r="F85" s="40">
        <x:f>+D85+E85</x:f>
        <x:v>16000000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11895864</x:v>
      </x:c>
      <x:c r="L85" s="39">
        <x:v>104136</x:v>
      </x:c>
      <x:c r="M85" s="40">
        <x:f>+K85+L85</x:f>
        <x:v>12000000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665</x:v>
      </x:c>
      <x:c r="D86" s="20">
        <x:v>141700</x:v>
      </x:c>
      <x:c r="E86" s="20">
        <x:f>+D86*0.1</x:f>
        <x:v>14170</x:v>
      </x:c>
      <x:c r="F86" s="21">
        <x:f>+D86+E86</x:f>
        <x:v>155870</x:v>
      </x:c>
      <x:c r="G86" s="22"/>
      <x:c r="H86" s="298" t="s">
        <x:v>148</x:v>
      </x:c>
      <x:c r="I86" s="19" t="s">
        <x:v>838</x:v>
      </x:c>
      <x:c r="J86" s="19" t="s">
        <x:v>666</x:v>
      </x:c>
      <x:c r="K86" s="20">
        <x:v>732250</x:v>
      </x:c>
      <x:c r="L86" s="20">
        <x:f>+K86*0.1</x:f>
        <x:v>73225</x:v>
      </x:c>
      <x:c r="M86" s="21">
        <x:f t="shared" ref="M86:M100" si="13">+K86+L86</x:f>
        <x:v>805475</x:v>
      </x:c>
      <x:c r="N86" s="22"/>
    </x:row>
    <x:row r="87" spans="1:14" ht="20.100000000000001" customHeight="1">
      <x:c r="A87" s="299"/>
      <x:c r="B87" s="3" t="s">
        <x:v>867</x:v>
      </x:c>
      <x:c r="C87" s="3"/>
      <x:c r="D87" s="4"/>
      <x:c r="E87" s="4">
        <x:f>+D87*0.1</x:f>
        <x:v>0</x:v>
      </x:c>
      <x:c r="F87" s="5">
        <x:f>+D87+E87</x:f>
        <x:v>0</x:v>
      </x:c>
      <x:c r="G87" s="6"/>
      <x:c r="H87" s="299"/>
      <x:c r="I87" s="3" t="s">
        <x:v>867</x:v>
      </x:c>
      <x:c r="J87" s="3" t="s">
        <x:v>667</x:v>
      </x:c>
      <x:c r="K87" s="4">
        <x:v>217200</x:v>
      </x:c>
      <x:c r="L87" s="4">
        <x:f>K87*0.1</x:f>
        <x:v>21720</x:v>
      </x:c>
      <x:c r="M87" s="5">
        <x:f t="shared" si="13"/>
        <x:v>238920</x:v>
      </x:c>
      <x:c r="N87" s="6"/>
    </x:row>
    <x:row r="88" spans="1:14" ht="20.100000000000001" customHeight="1">
      <x:c r="A88" s="299"/>
      <x:c r="B88" s="3" t="s">
        <x:v>907</x:v>
      </x:c>
      <x:c r="C88" s="3" t="s">
        <x:v>344</x:v>
      </x:c>
      <x:c r="D88" s="4">
        <x:v>80000</x:v>
      </x:c>
      <x:c r="E88" s="4">
        <x:f>+D88*0.1</x:f>
        <x:v>8000</x:v>
      </x:c>
      <x:c r="F88" s="5">
        <x:f>+D88+E88</x:f>
        <x:v>88000</x:v>
      </x:c>
      <x:c r="G88" s="6"/>
      <x:c r="H88" s="299"/>
      <x:c r="I88" s="3" t="s">
        <x:v>907</x:v>
      </x:c>
      <x:c r="J88" s="3"/>
      <x:c r="K88" s="4"/>
      <x:c r="L88" s="4">
        <x:f t="shared" ref="L88:L100" si="14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840</x:v>
      </x:c>
      <x:c r="C89" s="3" t="s">
        <x:v>31</x:v>
      </x:c>
      <x:c r="D89" s="4">
        <x:v>27600</x:v>
      </x:c>
      <x:c r="E89" s="4">
        <x:f>+INT(D89*0.1)</x:f>
        <x:v>2760</x:v>
      </x:c>
      <x:c r="F89" s="5">
        <x:f t="shared" ref="F89:F99" si="15">+D89+E89</x:f>
        <x:v>30360</x:v>
      </x:c>
      <x:c r="G89" s="6"/>
      <x:c r="H89" s="299"/>
      <x:c r="I89" s="3" t="s">
        <x:v>840</x:v>
      </x:c>
      <x:c r="J89" s="3" t="s">
        <x:v>31</x:v>
      </x:c>
      <x:c r="K89" s="4">
        <x:v>27600</x:v>
      </x:c>
      <x:c r="L89" s="4">
        <x:f t="shared" si="14"/>
        <x:v>2760</x:v>
      </x:c>
      <x:c r="M89" s="5">
        <x:f t="shared" si="13"/>
        <x:v>30360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ref="E90:E99" si="16">+INT(D90*0.1)</x:f>
        <x:v>0</x:v>
      </x:c>
      <x:c r="F90" s="5">
        <x:f t="shared" si="15"/>
        <x:v>0</x:v>
      </x:c>
      <x:c r="G90" s="6"/>
      <x:c r="H90" s="299"/>
      <x:c r="I90" s="3" t="s">
        <x:v>976</x:v>
      </x:c>
      <x:c r="J90" s="3" t="s">
        <x:v>335</x:v>
      </x:c>
      <x:c r="K90" s="4">
        <x:v>657100</x:v>
      </x:c>
      <x:c r="L90" s="4">
        <x:f>+K90*0.1</x:f>
        <x:v>65710</x:v>
      </x:c>
      <x:c r="M90" s="5">
        <x:f t="shared" si="13"/>
        <x:v>722810</x:v>
      </x:c>
      <x:c r="N90" s="6"/>
    </x:row>
    <x:row r="91" spans="1:14" ht="20.100000000000001" customHeight="1">
      <x:c r="A91" s="299"/>
      <x:c r="B91" s="3" t="s">
        <x:v>967</x:v>
      </x:c>
      <x:c r="C91" s="3" t="s">
        <x:v>1098</x:v>
      </x:c>
      <x:c r="D91" s="4">
        <x:v>352000</x:v>
      </x:c>
      <x:c r="E91" s="4">
        <x:f t="shared" si="16"/>
        <x:v>35200</x:v>
      </x:c>
      <x:c r="F91" s="5">
        <x:f t="shared" si="15"/>
        <x:v>387200</x:v>
      </x:c>
      <x:c r="G91" s="6"/>
      <x:c r="H91" s="299"/>
      <x:c r="I91" s="3" t="s">
        <x:v>846</x:v>
      </x:c>
      <x:c r="J91" s="3" t="s">
        <x:v>663</x:v>
      </x:c>
      <x:c r="K91" s="4">
        <x:v>389736</x:v>
      </x:c>
      <x:c r="L91" s="4">
        <x:f>+K91*0.1-1</x:f>
        <x:v>38972.599999999999</x:v>
      </x:c>
      <x:c r="M91" s="5">
        <x:f t="shared" si="13"/>
        <x:v>428708.59999999998</x:v>
      </x:c>
      <x:c r="N91" s="6"/>
    </x:row>
    <x:row r="92" spans="1:14" ht="20.100000000000001" customHeight="1">
      <x:c r="A92" s="299"/>
      <x:c r="B92" s="3" t="s">
        <x:v>846</x:v>
      </x:c>
      <x:c r="C92" s="3" t="s">
        <x:v>349</x:v>
      </x:c>
      <x:c r="D92" s="4">
        <x:v>605000</x:v>
      </x:c>
      <x:c r="E92" s="4">
        <x:f t="shared" si="16"/>
        <x:v>60500</x:v>
      </x:c>
      <x:c r="F92" s="5">
        <x:f t="shared" si="15"/>
        <x:v>665500</x:v>
      </x:c>
      <x:c r="G92" s="6"/>
      <x:c r="H92" s="299"/>
      <x:c r="I92" s="3" t="s">
        <x:v>938</x:v>
      </x:c>
      <x:c r="J92" s="3"/>
      <x:c r="K92" s="4"/>
      <x:c r="L92" s="4">
        <x:f t="shared" si="14"/>
        <x:v>0</x:v>
      </x:c>
      <x:c r="M92" s="5">
        <x:f t="shared" si="13"/>
        <x:v>0</x:v>
      </x:c>
      <x:c r="N92" s="6"/>
    </x:row>
    <x:row r="93" spans="1:14" ht="20.100000000000001" customHeight="1">
      <x:c r="A93" s="299"/>
      <x:c r="B93" s="3" t="s">
        <x:v>938</x:v>
      </x:c>
      <x:c r="C93" s="3"/>
      <x:c r="D93" s="4"/>
      <x:c r="E93" s="4">
        <x:f t="shared" si="16"/>
        <x:v>0</x:v>
      </x:c>
      <x:c r="F93" s="5">
        <x:f t="shared" si="15"/>
        <x:v>0</x:v>
      </x:c>
      <x:c r="G93" s="6"/>
      <x:c r="H93" s="299"/>
      <x:c r="I93" s="3"/>
      <x:c r="J93" s="3"/>
      <x:c r="K93" s="4"/>
      <x:c r="L93" s="4">
        <x:f t="shared" si="14"/>
        <x:v>0</x:v>
      </x:c>
      <x:c r="M93" s="5">
        <x:f t="shared" si="13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6"/>
        <x:v>0</x:v>
      </x:c>
      <x:c r="F94" s="5">
        <x:f t="shared" si="15"/>
        <x:v>0</x:v>
      </x:c>
      <x:c r="G94" s="6"/>
      <x:c r="H94" s="299"/>
      <x:c r="I94" s="3"/>
      <x:c r="J94" s="3"/>
      <x:c r="K94" s="4"/>
      <x:c r="L94" s="4">
        <x:f t="shared" si="14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6"/>
        <x:v>0</x:v>
      </x:c>
      <x:c r="F95" s="5">
        <x:f t="shared" si="15"/>
        <x:v>0</x:v>
      </x:c>
      <x:c r="G95" s="6"/>
      <x:c r="H95" s="299"/>
      <x:c r="I95" s="3"/>
      <x:c r="J95" s="3"/>
      <x:c r="K95" s="4"/>
      <x:c r="L95" s="4">
        <x:f t="shared" si="14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 t="shared" si="15"/>
        <x:v>0</x:v>
      </x:c>
      <x:c r="G96" s="6"/>
      <x:c r="H96" s="299"/>
      <x:c r="I96" s="3"/>
      <x:c r="J96" s="3"/>
      <x:c r="K96" s="4"/>
      <x:c r="L96" s="4">
        <x:f t="shared" si="14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6"/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4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6"/>
        <x:v>0</x:v>
      </x:c>
      <x:c r="F98" s="5">
        <x:f t="shared" si="15"/>
        <x:v>0</x:v>
      </x:c>
      <x:c r="G98" s="6"/>
      <x:c r="H98" s="299"/>
      <x:c r="I98" s="3"/>
      <x:c r="J98" s="3"/>
      <x:c r="K98" s="4"/>
      <x:c r="L98" s="4">
        <x:f t="shared" si="14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5"/>
        <x:v>0</x:v>
      </x:c>
      <x:c r="G99" s="6"/>
      <x:c r="H99" s="299"/>
      <x:c r="I99" s="3"/>
      <x:c r="J99" s="3"/>
      <x:c r="K99" s="4"/>
      <x:c r="L99" s="4">
        <x:f t="shared" si="14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4"/>
        <x:v>0</x:v>
      </x:c>
      <x:c r="M100" s="5">
        <x:f t="shared" si="13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1206300</x:v>
      </x:c>
      <x:c r="E101" s="9">
        <x:f>SUM(E86:E100)</x:f>
        <x:v>120630</x:v>
      </x:c>
      <x:c r="F101" s="10">
        <x:f>SUM(F86:F100)</x:f>
        <x:v>1326930</x:v>
      </x:c>
      <x:c r="G101" s="11"/>
      <x:c r="H101" s="7"/>
      <x:c r="I101" s="8"/>
      <x:c r="J101" s="8"/>
      <x:c r="K101" s="9">
        <x:f>SUM(K86:K100)</x:f>
        <x:v>2023886</x:v>
      </x:c>
      <x:c r="L101" s="9">
        <x:f>SUM(L86:L100)</x:f>
        <x:v>202387.60000000001</x:v>
      </x:c>
      <x:c r="M101" s="10">
        <x:f>SUM(M86:M100)</x:f>
        <x:v>2226273.6000000001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/>
      <x:c r="D102" s="44">
        <x:v>12960000</x:v>
      </x:c>
      <x:c r="E102" s="44"/>
      <x:c r="F102" s="45">
        <x:f>+D102+E102</x:f>
        <x:v>12960000</x:v>
      </x:c>
      <x:c r="G102" s="37"/>
      <x:c r="H102" s="301" t="s">
        <x:v>153</x:v>
      </x:c>
      <x:c r="I102" s="3" t="s">
        <x:v>1677</x:v>
      </x:c>
      <x:c r="J102" s="3"/>
      <x:c r="K102" s="4">
        <x:v>13490000</x:v>
      </x:c>
      <x:c r="L102" s="4"/>
      <x:c r="M102" s="5">
        <x:f>+K102+L102</x:f>
        <x:v>13490000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12960000</x:v>
      </x:c>
      <x:c r="E106" s="9">
        <x:f>SUM(E102:E105)</x:f>
        <x:v>0</x:v>
      </x:c>
      <x:c r="F106" s="10">
        <x:f>SUM(F102:F105)</x:f>
        <x:v>12960000</x:v>
      </x:c>
      <x:c r="G106" s="11"/>
      <x:c r="H106" s="7"/>
      <x:c r="I106" s="8"/>
      <x:c r="J106" s="8"/>
      <x:c r="K106" s="9">
        <x:f>SUM(K102:K105)</x:f>
        <x:v>13490000</x:v>
      </x:c>
      <x:c r="L106" s="9">
        <x:f>SUM(L102:L105)</x:f>
        <x:v>0</x:v>
      </x:c>
      <x:c r="M106" s="10">
        <x:f>SUM(M102:M105)</x:f>
        <x:v>13490000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 t="s">
        <x:v>1089</x:v>
      </x:c>
      <x:c r="J107" s="3" t="s">
        <x:v>1081</x:v>
      </x:c>
      <x:c r="K107" s="4">
        <x:v>200000</x:v>
      </x:c>
      <x:c r="L107" s="4">
        <x:f>+K107*0.1</x:f>
        <x:v>20000</x:v>
      </x:c>
      <x:c r="M107" s="5">
        <x:f>+K107+L107</x:f>
        <x:v>220000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200000</x:v>
      </x:c>
      <x:c r="L111" s="9">
        <x:f>SUM(L107:L110)</x:f>
        <x:v>20000</x:v>
      </x:c>
      <x:c r="M111" s="10">
        <x:f>SUM(M107:M110)</x:f>
        <x:v>220000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645920</x:v>
      </x:c>
      <x:c r="L112" s="4"/>
      <x:c r="M112" s="5">
        <x:f t="shared" ref="M112:M119" si="17">+K112+L112</x:f>
        <x:v>645920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1728</x:v>
      </x:c>
      <x:c r="K113" s="4">
        <x:v>100000</x:v>
      </x:c>
      <x:c r="L113" s="4">
        <x:f>+K113*0.1</x:f>
        <x:v>10000</x:v>
      </x:c>
      <x:c r="M113" s="5">
        <x:f t="shared" si="17"/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71000</x:v>
      </x:c>
      <x:c r="E114" s="4">
        <x:f>+D114*0.1</x:f>
        <x:v>7100</x:v>
      </x:c>
      <x:c r="F114" s="5">
        <x:f>+D114+E114</x:f>
        <x:v>78100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17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390000</x:v>
      </x:c>
      <x:c r="E115" s="4">
        <x:f>+D115*0.1</x:f>
        <x:v>39000</x:v>
      </x:c>
      <x:c r="F115" s="5">
        <x:f t="shared" ref="F115:F121" si="18">+D115+E115</x:f>
        <x:v>429000</x:v>
      </x:c>
      <x:c r="G115" s="6"/>
      <x:c r="H115" s="299"/>
      <x:c r="I115" s="3" t="s">
        <x:v>633</x:v>
      </x:c>
      <x:c r="J115" s="3" t="s">
        <x:v>962</x:v>
      </x:c>
      <x:c r="K115" s="4">
        <x:v>498000</x:v>
      </x:c>
      <x:c r="L115" s="4">
        <x:f>+K115*0.1</x:f>
        <x:v>49800</x:v>
      </x:c>
      <x:c r="M115" s="5">
        <x:f t="shared" si="17"/>
        <x:v>547800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1226510</x:v>
      </x:c>
      <x:c r="E116" s="4">
        <x:v>10000</x:v>
      </x:c>
      <x:c r="F116" s="5">
        <x:f t="shared" si="18"/>
        <x:v>1236510</x:v>
      </x:c>
      <x:c r="G116" s="6"/>
      <x:c r="H116" s="299"/>
      <x:c r="I116" s="3" t="s">
        <x:v>1049</x:v>
      </x:c>
      <x:c r="J116" s="3" t="s">
        <x:v>167</x:v>
      </x:c>
      <x:c r="K116" s="4">
        <x:v>75000</x:v>
      </x:c>
      <x:c r="L116" s="4">
        <x:f>+K116*0.1</x:f>
        <x:v>7500</x:v>
      </x:c>
      <x:c r="M116" s="5">
        <x:f t="shared" si="17"/>
        <x:v>82500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18"/>
        <x:v>110000</x:v>
      </x:c>
      <x:c r="G117" s="6"/>
      <x:c r="H117" s="299"/>
      <x:c r="I117" s="3"/>
      <x:c r="J117" s="3"/>
      <x:c r="K117" s="4"/>
      <x:c r="L117" s="4"/>
      <x:c r="M117" s="5">
        <x:f t="shared" si="17"/>
        <x:v>0</x:v>
      </x:c>
      <x:c r="N117" s="6"/>
    </x:row>
    <x:row r="118" spans="1:14" ht="20.100000000000001" customHeight="1">
      <x:c r="A118" s="299"/>
      <x:c r="B118" s="3" t="s">
        <x:v>908</x:v>
      </x:c>
      <x:c r="C118" s="3" t="s">
        <x:v>1057</x:v>
      </x:c>
      <x:c r="D118" s="4">
        <x:v>150000</x:v>
      </x:c>
      <x:c r="E118" s="4">
        <x:f>+D118*0.1</x:f>
        <x:v>15000</x:v>
      </x:c>
      <x:c r="F118" s="5">
        <x:f t="shared" si="18"/>
        <x:v>165000</x:v>
      </x:c>
      <x:c r="G118" s="6" t="s">
        <x:v>1099</x:v>
      </x:c>
      <x:c r="H118" s="299"/>
      <x:c r="I118" s="3"/>
      <x:c r="J118" s="3"/>
      <x:c r="K118" s="4"/>
      <x:c r="L118" s="4"/>
      <x:c r="M118" s="5">
        <x:f t="shared" si="17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8"/>
        <x:v>0</x:v>
      </x:c>
      <x:c r="G119" s="6"/>
      <x:c r="H119" s="299"/>
      <x:c r="I119" s="3"/>
      <x:c r="J119" s="3"/>
      <x:c r="K119" s="4"/>
      <x:c r="L119" s="4"/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8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8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2485510</x:v>
      </x:c>
      <x:c r="E122" s="9">
        <x:f>SUM(E112:E121)</x:f>
        <x:v>131100</x:v>
      </x:c>
      <x:c r="F122" s="10">
        <x:f>SUM(F112:F121)</x:f>
        <x:v>2616610</x:v>
      </x:c>
      <x:c r="G122" s="11"/>
      <x:c r="H122" s="7"/>
      <x:c r="I122" s="8"/>
      <x:c r="J122" s="8"/>
      <x:c r="K122" s="9">
        <x:f>SUM(K112:K121)</x:f>
        <x:v>1398920</x:v>
      </x:c>
      <x:c r="L122" s="9">
        <x:f>SUM(L112:L121)</x:f>
        <x:v>75300</x:v>
      </x:c>
      <x:c r="M122" s="10">
        <x:f>SUM(M112:M121)</x:f>
        <x:v>1474220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16651810</x:v>
      </x:c>
      <x:c r="E123" s="14">
        <x:f>+E101+E106+E111+E122</x:f>
        <x:v>251730</x:v>
      </x:c>
      <x:c r="F123" s="15">
        <x:f>+F101+F106+F111+F122</x:f>
        <x:v>16903540</x:v>
      </x:c>
      <x:c r="G123" s="16"/>
      <x:c r="H123" s="12"/>
      <x:c r="I123" s="13"/>
      <x:c r="J123" s="13"/>
      <x:c r="K123" s="14">
        <x:f>+K101+K106+K111+K122</x:f>
        <x:v>17112806</x:v>
      </x:c>
      <x:c r="L123" s="14">
        <x:f>+L101+L106+L111+L122</x:f>
        <x:v>297687.59999999998</x:v>
      </x:c>
      <x:c r="M123" s="15">
        <x:f>+M101+M106+M111+M122</x:f>
        <x:v>17410493.600000001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-820116</x:v>
      </x:c>
      <x:c r="E124" s="25">
        <x:f>+E85-E123</x:f>
        <x:v>-83424</x:v>
      </x:c>
      <x:c r="F124" s="26">
        <x:f>+F85-F123</x:f>
        <x:v>-903540</x:v>
      </x:c>
      <x:c r="G124" s="27"/>
      <x:c r="H124" s="23"/>
      <x:c r="I124" s="24"/>
      <x:c r="J124" s="24"/>
      <x:c r="K124" s="25">
        <x:f>+K85-K123</x:f>
        <x:v>-5216942</x:v>
      </x:c>
      <x:c r="L124" s="25">
        <x:f>+L85-L123</x:f>
        <x:v>-193551.59999999998</x:v>
      </x:c>
      <x:c r="M124" s="26">
        <x:f>+M85-M123</x:f>
        <x:v>-5410493.6000000015</x:v>
      </x:c>
      <x:c r="N124" s="27"/>
    </x:row>
    <x:row r="125" spans="1:14" ht="20.100000000000001" customHeight="1">
      <x:c r="A125" s="302" t="s">
        <x:v>654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customHeight="1">
      <x:c r="A126" s="29" t="s">
        <x:v>147</x:v>
      </x:c>
      <x:c r="B126" s="86" t="s">
        <x:v>144</x:v>
      </x:c>
      <x:c r="C126" s="86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86" t="s">
        <x:v>144</x:v>
      </x:c>
      <x:c r="J126" s="86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customHeight="1">
      <x:c r="A127" s="85" t="s">
        <x:v>151</x:v>
      </x:c>
      <x:c r="B127" s="38" t="s">
        <x:v>1679</x:v>
      </x:c>
      <x:c r="C127" s="38" t="s">
        <x:v>1030</x:v>
      </x:c>
      <x:c r="D127" s="39"/>
      <x:c r="E127" s="39"/>
      <x:c r="F127" s="40">
        <x:f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customHeight="1">
      <x:c r="A128" s="298" t="s">
        <x:v>148</x:v>
      </x:c>
      <x:c r="B128" s="19" t="s">
        <x:v>838</x:v>
      </x:c>
      <x:c r="C128" s="19" t="s">
        <x:v>24</x:v>
      </x:c>
      <x:c r="D128" s="20">
        <x:v>4103630</x:v>
      </x:c>
      <x:c r="E128" s="20">
        <x:f>+D128*0.1</x:f>
        <x:v>410363</x:v>
      </x:c>
      <x:c r="F128" s="21">
        <x:f>+D128+E128</x:f>
        <x:v>4513993</x:v>
      </x:c>
      <x:c r="G128" s="22">
        <x:v>2100780</x:v>
      </x:c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19">+K128+L128</x:f>
        <x:v>0</x:v>
      </x:c>
      <x:c r="N128" s="22"/>
    </x:row>
    <x:row r="129" spans="1:14" ht="20.100000000000001" customHeight="1">
      <x:c r="A129" s="299"/>
      <x:c r="B129" s="3" t="s">
        <x:v>840</x:v>
      </x:c>
      <x:c r="C129" s="3" t="s">
        <x:v>664</x:v>
      </x:c>
      <x:c r="D129" s="4">
        <x:v>1814840</x:v>
      </x:c>
      <x:c r="E129" s="4">
        <x:f>+D129*0.1</x:f>
        <x:v>181484</x:v>
      </x:c>
      <x:c r="F129" s="5">
        <x:f>+D129+E129</x:f>
        <x:v>1996324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19"/>
        <x:v>0</x:v>
      </x:c>
      <x:c r="N129" s="6"/>
    </x:row>
    <x:row r="130" spans="1:14" ht="20.100000000000001" customHeight="1">
      <x:c r="A130" s="299"/>
      <x:c r="B130" s="3" t="s">
        <x:v>1086</x:v>
      </x:c>
      <x:c r="C130" s="3" t="s">
        <x:v>1097</x:v>
      </x:c>
      <x:c r="D130" s="4">
        <x:v>1600000</x:v>
      </x:c>
      <x:c r="E130" s="4">
        <x:f>+D130*0.1</x:f>
        <x:v>160000</x:v>
      </x:c>
      <x:c r="F130" s="5">
        <x:f>+D130+E130</x:f>
        <x:v>1760000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19"/>
        <x:v>0</x:v>
      </x:c>
      <x:c r="N130" s="6"/>
    </x:row>
    <x:row r="131" spans="1:14" ht="20.100000000000001" customHeight="1">
      <x:c r="A131" s="299"/>
      <x:c r="B131" s="3" t="s">
        <x:v>846</x:v>
      </x:c>
      <x:c r="C131" s="3" t="s">
        <x:v>629</x:v>
      </x:c>
      <x:c r="D131" s="4">
        <x:v>288070</x:v>
      </x:c>
      <x:c r="E131" s="4">
        <x:f>+INT(D131*0.1)</x:f>
        <x:v>28807</x:v>
      </x:c>
      <x:c r="F131" s="5">
        <x:f t="shared" ref="F131:F141" si="20">+D131+E131</x:f>
        <x:v>316877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19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 t="shared" ref="E132:E141" si="21">+INT(D132*0.1)</x:f>
        <x:v>0</x:v>
      </x:c>
      <x:c r="F132" s="5">
        <x:f t="shared" si="20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9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 t="shared" si="21"/>
        <x:v>0</x:v>
      </x:c>
      <x:c r="F133" s="5">
        <x:f t="shared" si="20"/>
        <x:v>0</x:v>
      </x:c>
      <x:c r="G133" s="6"/>
      <x:c r="H133" s="299"/>
      <x:c r="I133" s="3"/>
      <x:c r="J133" s="3"/>
      <x:c r="K133" s="4"/>
      <x:c r="L133" s="4">
        <x:f t="shared" ref="L133:L142" si="22">+K133*0.1</x:f>
        <x:v>0</x:v>
      </x:c>
      <x:c r="M133" s="5">
        <x:f t="shared" si="19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 t="shared" si="21"/>
        <x:v>0</x:v>
      </x:c>
      <x:c r="F134" s="5">
        <x:f t="shared" si="20"/>
        <x:v>0</x:v>
      </x:c>
      <x:c r="G134" s="6"/>
      <x:c r="H134" s="299"/>
      <x:c r="I134" s="3"/>
      <x:c r="J134" s="3"/>
      <x:c r="K134" s="4"/>
      <x:c r="L134" s="4">
        <x:f t="shared" si="22"/>
        <x:v>0</x:v>
      </x:c>
      <x:c r="M134" s="5">
        <x:f t="shared" si="19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si="21"/>
        <x:v>0</x:v>
      </x:c>
      <x:c r="F135" s="5">
        <x:f t="shared" si="20"/>
        <x:v>0</x:v>
      </x:c>
      <x:c r="G135" s="6"/>
      <x:c r="H135" s="299"/>
      <x:c r="I135" s="3"/>
      <x:c r="J135" s="3"/>
      <x:c r="K135" s="4"/>
      <x:c r="L135" s="4">
        <x:f t="shared" si="22"/>
        <x:v>0</x:v>
      </x:c>
      <x:c r="M135" s="5">
        <x:f t="shared" si="19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1"/>
        <x:v>0</x:v>
      </x:c>
      <x:c r="F136" s="5">
        <x:f t="shared" si="20"/>
        <x:v>0</x:v>
      </x:c>
      <x:c r="G136" s="6"/>
      <x:c r="H136" s="299"/>
      <x:c r="I136" s="3"/>
      <x:c r="J136" s="3"/>
      <x:c r="K136" s="4"/>
      <x:c r="L136" s="4">
        <x:f t="shared" si="22"/>
        <x:v>0</x:v>
      </x:c>
      <x:c r="M136" s="5">
        <x:f t="shared" si="19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1"/>
        <x:v>0</x:v>
      </x:c>
      <x:c r="F137" s="5">
        <x:f t="shared" si="20"/>
        <x:v>0</x:v>
      </x:c>
      <x:c r="G137" s="6"/>
      <x:c r="H137" s="299"/>
      <x:c r="I137" s="3"/>
      <x:c r="J137" s="3"/>
      <x:c r="K137" s="4"/>
      <x:c r="L137" s="4">
        <x:f t="shared" si="22"/>
        <x:v>0</x:v>
      </x:c>
      <x:c r="M137" s="5">
        <x:f t="shared" si="19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>
        <x:f t="shared" si="21"/>
        <x:v>0</x:v>
      </x:c>
      <x:c r="F138" s="5">
        <x:f t="shared" si="20"/>
        <x:v>0</x:v>
      </x:c>
      <x:c r="G138" s="6"/>
      <x:c r="H138" s="299"/>
      <x:c r="I138" s="3"/>
      <x:c r="J138" s="3"/>
      <x:c r="K138" s="4"/>
      <x:c r="L138" s="4">
        <x:f t="shared" si="22"/>
        <x:v>0</x:v>
      </x:c>
      <x:c r="M138" s="5">
        <x:f t="shared" si="19"/>
        <x:v>0</x:v>
      </x:c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1"/>
        <x:v>0</x:v>
      </x:c>
      <x:c r="F139" s="5">
        <x:f t="shared" si="20"/>
        <x:v>0</x:v>
      </x:c>
      <x:c r="G139" s="6"/>
      <x:c r="H139" s="299"/>
      <x:c r="I139" s="3"/>
      <x:c r="J139" s="3"/>
      <x:c r="K139" s="4"/>
      <x:c r="L139" s="4">
        <x:f t="shared" si="22"/>
        <x:v>0</x:v>
      </x:c>
      <x:c r="M139" s="5">
        <x:f t="shared" si="19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1"/>
        <x:v>0</x:v>
      </x:c>
      <x:c r="F140" s="5">
        <x:f t="shared" si="20"/>
        <x:v>0</x:v>
      </x:c>
      <x:c r="G140" s="6"/>
      <x:c r="H140" s="299"/>
      <x:c r="I140" s="3"/>
      <x:c r="J140" s="3"/>
      <x:c r="K140" s="4"/>
      <x:c r="L140" s="4">
        <x:f t="shared" si="22"/>
        <x:v>0</x:v>
      </x:c>
      <x:c r="M140" s="5">
        <x:f t="shared" si="19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1"/>
        <x:v>0</x:v>
      </x:c>
      <x:c r="F141" s="5">
        <x:f t="shared" si="20"/>
        <x:v>0</x:v>
      </x:c>
      <x:c r="G141" s="6"/>
      <x:c r="H141" s="299"/>
      <x:c r="I141" s="3"/>
      <x:c r="J141" s="3"/>
      <x:c r="K141" s="4"/>
      <x:c r="L141" s="4">
        <x:f t="shared" si="22"/>
        <x:v>0</x:v>
      </x:c>
      <x:c r="M141" s="5">
        <x:f t="shared" si="19"/>
        <x:v>0</x:v>
      </x:c>
      <x:c r="N141" s="6"/>
    </x:row>
    <x:row r="142" spans="1:14" ht="20.10000000000000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2"/>
        <x:v>0</x:v>
      </x:c>
      <x:c r="M142" s="5">
        <x:f t="shared" si="19"/>
        <x:v>0</x:v>
      </x:c>
      <x:c r="N142" s="6"/>
    </x:row>
    <x:row r="143" spans="1:14" ht="20.100000000000001" customHeight="1">
      <x:c r="A143" s="7" t="s">
        <x:v>155</x:v>
      </x:c>
      <x:c r="B143" s="8"/>
      <x:c r="C143" s="8"/>
      <x:c r="D143" s="9">
        <x:f>SUM(D128:D142)</x:f>
        <x:v>7806540</x:v>
      </x:c>
      <x:c r="E143" s="9">
        <x:f>SUM(E128:E142)</x:f>
        <x:v>780654</x:v>
      </x:c>
      <x:c r="F143" s="10">
        <x:f>SUM(F128:F142)</x:f>
        <x:v>8587194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customHeight="1">
      <x:c r="A144" s="301" t="s">
        <x:v>153</x:v>
      </x:c>
      <x:c r="B144" s="3" t="s">
        <x:v>1677</x:v>
      </x:c>
      <x:c r="C144" s="3"/>
      <x:c r="D144" s="44">
        <x:v>1880000</x:v>
      </x:c>
      <x:c r="E144" s="44"/>
      <x:c r="F144" s="45">
        <x:f>+D144+E144</x:f>
        <x:v>1880000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customHeight="1">
      <x:c r="A145" s="299"/>
      <x:c r="B145" s="3" t="s">
        <x:v>1068</x:v>
      </x:c>
      <x:c r="C145" s="3"/>
      <x:c r="D145" s="44">
        <x:v>6840000</x:v>
      </x:c>
      <x:c r="E145" s="44">
        <x:f>+D145*0.1</x:f>
        <x:v>684000</x:v>
      </x:c>
      <x:c r="F145" s="45">
        <x:f>+D145+E145</x:f>
        <x:v>7524000</x:v>
      </x:c>
      <x:c r="G145" s="37" t="s">
        <x:v>1085</x:v>
      </x:c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7" t="s">
        <x:v>155</x:v>
      </x:c>
      <x:c r="B148" s="8"/>
      <x:c r="C148" s="8"/>
      <x:c r="D148" s="9">
        <x:f>SUM(D144:D147)</x:f>
        <x:v>8720000</x:v>
      </x:c>
      <x:c r="E148" s="9">
        <x:f>SUM(E144:E147)</x:f>
        <x:v>684000</x:v>
      </x:c>
      <x:c r="F148" s="10">
        <x:f>SUM(F144:F147)</x:f>
        <x:v>9404000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customHeight="1">
      <x:c r="A149" s="301" t="s">
        <x:v>187</x:v>
      </x:c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customHeight="1">
      <x:c r="A154" s="301" t="s">
        <x:v>149</x:v>
      </x:c>
      <x:c r="B154" s="3" t="s">
        <x:v>883</x:v>
      </x:c>
      <x:c r="C154" s="3" t="s">
        <x:v>1730</x:v>
      </x:c>
      <x:c r="D154" s="4">
        <x:v>1050000</x:v>
      </x:c>
      <x:c r="E154" s="4">
        <x:f>+D154*0.1</x:f>
        <x:v>105000</x:v>
      </x:c>
      <x:c r="F154" s="5">
        <x:f>+D154+E154</x:f>
        <x:v>1155000</x:v>
      </x:c>
      <x:c r="G154" s="6" t="s">
        <x:v>1069</x:v>
      </x:c>
      <x:c r="H154" s="301" t="s">
        <x:v>149</x:v>
      </x:c>
      <x:c r="I154" s="3"/>
      <x:c r="J154" s="3"/>
      <x:c r="K154" s="4"/>
      <x:c r="L154" s="4"/>
      <x:c r="M154" s="5">
        <x:f t="shared" ref="M154:M161" si="23">+K154+L154</x:f>
        <x:v>0</x:v>
      </x:c>
      <x:c r="N154" s="6"/>
    </x:row>
    <x:row r="155" spans="1:14" ht="20.100000000000001" customHeight="1">
      <x:c r="A155" s="299"/>
      <x:c r="B155" s="3" t="s">
        <x:v>169</x:v>
      </x:c>
      <x:c r="C155" s="3" t="s">
        <x:v>837</x:v>
      </x:c>
      <x:c r="D155" s="4">
        <x:v>335050</x:v>
      </x:c>
      <x:c r="E155" s="4"/>
      <x:c r="F155" s="5">
        <x:f>+D155+E155</x:f>
        <x:v>335050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3"/>
        <x:v>0</x:v>
      </x:c>
      <x:c r="N155" s="6"/>
    </x:row>
    <x:row r="156" spans="1:14" ht="20.10000000000000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3"/>
        <x:v>0</x:v>
      </x:c>
      <x:c r="N156" s="6"/>
    </x:row>
    <x:row r="157" spans="1:14" ht="20.10000000000000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4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3"/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 t="shared" si="24"/>
        <x:v>0</x:v>
      </x:c>
      <x:c r="G158" s="6"/>
      <x:c r="H158" s="299"/>
      <x:c r="I158" s="3"/>
      <x:c r="J158" s="3"/>
      <x:c r="K158" s="4"/>
      <x:c r="L158" s="4">
        <x:f t="shared" ref="L158:L163" si="25">+K158*0.1</x:f>
        <x:v>0</x:v>
      </x:c>
      <x:c r="M158" s="5">
        <x:f t="shared" si="23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4"/>
        <x:v>0</x:v>
      </x:c>
      <x:c r="G159" s="6"/>
      <x:c r="H159" s="299"/>
      <x:c r="I159" s="3"/>
      <x:c r="J159" s="3"/>
      <x:c r="K159" s="4"/>
      <x:c r="L159" s="4">
        <x:f t="shared" si="25"/>
        <x:v>0</x:v>
      </x:c>
      <x:c r="M159" s="5">
        <x:f t="shared" si="23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4"/>
        <x:v>0</x:v>
      </x:c>
      <x:c r="G160" s="6"/>
      <x:c r="H160" s="299"/>
      <x:c r="I160" s="3"/>
      <x:c r="J160" s="3"/>
      <x:c r="K160" s="4"/>
      <x:c r="L160" s="4">
        <x:f t="shared" si="25"/>
        <x:v>0</x:v>
      </x:c>
      <x:c r="M160" s="5">
        <x:f t="shared" si="23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4"/>
        <x:v>0</x:v>
      </x:c>
      <x:c r="G161" s="6"/>
      <x:c r="H161" s="299"/>
      <x:c r="I161" s="3"/>
      <x:c r="J161" s="3"/>
      <x:c r="K161" s="4"/>
      <x:c r="L161" s="4">
        <x:f t="shared" si="25"/>
        <x:v>0</x:v>
      </x:c>
      <x:c r="M161" s="5">
        <x:f t="shared" si="23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4"/>
        <x:v>0</x:v>
      </x:c>
      <x:c r="G162" s="6"/>
      <x:c r="H162" s="299"/>
      <x:c r="I162" s="3"/>
      <x:c r="J162" s="3"/>
      <x:c r="K162" s="4"/>
      <x:c r="L162" s="4">
        <x:f t="shared" si="25"/>
        <x:v>0</x:v>
      </x:c>
      <x:c r="M162" s="5"/>
      <x:c r="N162" s="6"/>
    </x:row>
    <x:row r="163" spans="1:14" ht="20.100000000000001" customHeight="1">
      <x:c r="A163" s="300"/>
      <x:c r="B163" s="3"/>
      <x:c r="C163" s="3"/>
      <x:c r="D163" s="4"/>
      <x:c r="E163" s="4"/>
      <x:c r="F163" s="5">
        <x:f t="shared" si="24"/>
        <x:v>0</x:v>
      </x:c>
      <x:c r="G163" s="6"/>
      <x:c r="H163" s="300"/>
      <x:c r="I163" s="3"/>
      <x:c r="J163" s="3"/>
      <x:c r="K163" s="4"/>
      <x:c r="L163" s="4">
        <x:f t="shared" si="25"/>
        <x:v>0</x:v>
      </x:c>
      <x:c r="M163" s="5">
        <x:f>+K163+L163</x:f>
        <x:v>0</x:v>
      </x:c>
      <x:c r="N163" s="6"/>
    </x:row>
    <x:row r="164" spans="1:14" ht="20.100000000000001" customHeight="1">
      <x:c r="A164" s="7" t="s">
        <x:v>155</x:v>
      </x:c>
      <x:c r="B164" s="8"/>
      <x:c r="C164" s="8"/>
      <x:c r="D164" s="9">
        <x:f>SUM(D154:D163)</x:f>
        <x:v>1385050</x:v>
      </x:c>
      <x:c r="E164" s="9">
        <x:f>SUM(E154:E163)</x:f>
        <x:v>105000</x:v>
      </x:c>
      <x:c r="F164" s="10">
        <x:f>SUM(F154:F163)</x:f>
        <x:v>1490050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customHeight="1">
      <x:c r="A165" s="12" t="s">
        <x:v>1690</x:v>
      </x:c>
      <x:c r="B165" s="13"/>
      <x:c r="C165" s="13"/>
      <x:c r="D165" s="14">
        <x:f>+D143+D148+D153+D164</x:f>
        <x:v>17911590</x:v>
      </x:c>
      <x:c r="E165" s="14">
        <x:f>+E143+E148+E153+E164</x:f>
        <x:v>1569654</x:v>
      </x:c>
      <x:c r="F165" s="15">
        <x:f>+F143+F148+F153+F164</x:f>
        <x:v>19481244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customHeight="1">
      <x:c r="A166" s="23" t="s">
        <x:v>35</x:v>
      </x:c>
      <x:c r="B166" s="24"/>
      <x:c r="C166" s="24"/>
      <x:c r="D166" s="25">
        <x:f>+D127-D165</x:f>
        <x:v>-17911590</x:v>
      </x:c>
      <x:c r="E166" s="25">
        <x:f>+E127-E165</x:f>
        <x:v>-1569654</x:v>
      </x:c>
      <x:c r="F166" s="26">
        <x:f>+F127-F165</x:f>
        <x:v>-19481244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+D15+D59+D101+D143</x:f>
        <x:v>10895120</x:v>
      </x:c>
      <x:c r="E169" s="2">
        <x:f>+E15+E59+E101+E143</x:f>
        <x:v>1089512</x:v>
      </x:c>
      <x:c r="F169" s="2">
        <x:f>+F15+F59+F101+F143</x:f>
        <x:v>11984632</x:v>
      </x:c>
      <x:c r="K169" s="2">
        <x:f>+K15+K59+K101+K143</x:f>
        <x:v>95450544</x:v>
      </x:c>
      <x:c r="L169" s="2">
        <x:f>+L15+L59+L101+L143</x:f>
        <x:v>9545041.4000000004</x:v>
      </x:c>
      <x:c r="M169" s="2">
        <x:f>+M15+M59+M101+M143</x:f>
        <x:v>104995585.39999999</x:v>
      </x:c>
    </x:row>
    <x:row r="170" spans="1:13">
      <x:c r="A170" s="1" t="s">
        <x:v>153</x:v>
      </x:c>
      <x:c r="D170" s="2">
        <x:f>+D22+D64+D106+D148</x:f>
        <x:v>32890000</x:v>
      </x:c>
      <x:c r="E170" s="2">
        <x:f>+E22+E64+E106+E148</x:f>
        <x:v>684000</x:v>
      </x:c>
      <x:c r="F170" s="2">
        <x:f>+F22+F64+F106+F148</x:f>
        <x:v>33574000</x:v>
      </x:c>
      <x:c r="K170" s="2">
        <x:f>+K22+K64+K106+K148</x:f>
        <x:v>100311000</x:v>
      </x:c>
      <x:c r="L170" s="2">
        <x:f>+L22+L64+L106+L148</x:f>
        <x:v>2305600</x:v>
      </x:c>
      <x:c r="M170" s="2">
        <x:f>+M22+M64+M106+M148</x:f>
        <x:v>102616600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0</x:v>
      </x:c>
      <x:c r="E171" s="2">
        <x:f>+E27+E69+E111+E153</x:f>
        <x:v>0</x:v>
      </x:c>
      <x:c r="F171" s="2">
        <x:f>+F27+F69+F111+F153</x:f>
        <x:v>0</x:v>
      </x:c>
      <x:c r="H171" s="1"/>
      <x:c r="I171" s="1"/>
      <x:c r="J171" s="1"/>
      <x:c r="K171" s="2">
        <x:f>+K27+K69+K111+K153</x:f>
        <x:v>2600000</x:v>
      </x:c>
      <x:c r="L171" s="2">
        <x:f>+L27+L69+L111+L153</x:f>
        <x:v>260000</x:v>
      </x:c>
      <x:c r="M171" s="2">
        <x:f>+M27+M69+M111+M153</x:f>
        <x:v>2860000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5084450</x:v>
      </x:c>
      <x:c r="E172" s="2">
        <x:f>+E38+E80+E122+E164</x:f>
        <x:v>316900</x:v>
      </x:c>
      <x:c r="F172" s="2">
        <x:f>+F38+F80+F122+F164</x:f>
        <x:v>5401350</x:v>
      </x:c>
      <x:c r="H172" s="1"/>
      <x:c r="I172" s="1"/>
      <x:c r="J172" s="1"/>
      <x:c r="K172" s="2">
        <x:f>+K38+K80+K122+K164</x:f>
        <x:v>8908056</x:v>
      </x:c>
      <x:c r="L172" s="2">
        <x:f>+L38+L80+L122+L164</x:f>
        <x:v>505454</x:v>
      </x:c>
      <x:c r="M172" s="2">
        <x:f>+M38+M80+M122+M164</x:f>
        <x:v>9413510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48869570</x:v>
      </x:c>
      <x:c r="E173" s="2">
        <x:f>SUM(E169:E172)</x:f>
        <x:v>2090412</x:v>
      </x:c>
      <x:c r="F173" s="2">
        <x:f>SUM(F169:F172)</x:f>
        <x:v>50959982</x:v>
      </x:c>
      <x:c r="H173" s="1"/>
      <x:c r="I173" s="1"/>
      <x:c r="J173" s="1"/>
      <x:c r="K173" s="2">
        <x:f>SUM(K169:K172)</x:f>
        <x:v>207269600</x:v>
      </x:c>
      <x:c r="L173" s="2">
        <x:f>SUM(L169:L172)</x:f>
        <x:v>12616095.4</x:v>
      </x:c>
      <x:c r="M173" s="2">
        <x:f>SUM(M169:M172)</x:f>
        <x:v>219885695.39999998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106345664</x:v>
      </x:c>
      <x:c r="E176" s="2">
        <x:f>+E169+L169</x:f>
        <x:v>10634553.4</x:v>
      </x:c>
      <x:c r="F176" s="2">
        <x:f>+F169+M169</x:f>
        <x:v>116980217.39999999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6">+D170+K170</x:f>
        <x:v>133201000</x:v>
      </x:c>
      <x:c r="E177" s="2">
        <x:f t="shared" si="26"/>
        <x:v>2989600</x:v>
      </x:c>
      <x:c r="F177" s="2">
        <x:f t="shared" si="26"/>
        <x:v>136190600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6"/>
        <x:v>2600000</x:v>
      </x:c>
      <x:c r="E178" s="2">
        <x:f t="shared" si="26"/>
        <x:v>260000</x:v>
      </x:c>
      <x:c r="F178" s="2">
        <x:f t="shared" si="26"/>
        <x:v>2860000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6"/>
        <x:v>13992506</x:v>
      </x:c>
      <x:c r="E179" s="2">
        <x:f t="shared" si="26"/>
        <x:v>822354</x:v>
      </x:c>
      <x:c r="F179" s="2">
        <x:f t="shared" si="26"/>
        <x:v>14814860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256139170</x:v>
      </x:c>
      <x:c r="E180" s="2">
        <x:f>SUM(E176:E179)</x:f>
        <x:v>14706507.4</x:v>
      </x:c>
      <x:c r="F180" s="2">
        <x:f>SUM(F176:F179)</x:f>
        <x:v>270845677.39999998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266427558</x:v>
      </x:c>
      <x:c r="E181" s="2">
        <x:f>E4+E43+E85+L4+L43+L85</x:f>
        <x:v>1322442</x:v>
      </x:c>
      <x:c r="F181" s="2">
        <x:f>F4+F43+F85+M4+M43+M85</x:f>
        <x:v>267750000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10288388</x:v>
      </x:c>
      <x:c r="E182" s="2">
        <x:f>+E181-E180</x:f>
        <x:v>-13384065.4</x:v>
      </x:c>
      <x:c r="F182" s="2">
        <x:f>+F181-F180</x:f>
        <x:v>-3095677.3999999762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6:A21"/>
    <x:mergeCell ref="H16:H21"/>
    <x:mergeCell ref="A1:N1"/>
    <x:mergeCell ref="A2:G2"/>
    <x:mergeCell ref="H2:N2"/>
    <x:mergeCell ref="A5:A14"/>
    <x:mergeCell ref="H5:H1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R12"/>
  <x:sheetViews>
    <x:sheetView view="pageBreakPreview" topLeftCell="A1" zoomScaleNormal="100" zoomScaleSheetLayoutView="100" workbookViewId="0">
      <x:selection activeCell="G7" activeCellId="0" sqref="G7:G7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1731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87"/>
      <x:c r="C2" s="87"/>
      <x:c r="D2" s="87"/>
      <x:c r="E2" s="87"/>
      <x:c r="F2" s="87"/>
      <x:c r="G2" s="87"/>
      <x:c r="H2" s="87"/>
      <x:c r="I2" s="87"/>
      <x:c r="J2" s="87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89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'19년12월(세부내역)'!D4</x:f>
        <x:v>110000000</x:v>
      </x:c>
      <x:c r="E5" s="67">
        <x:f>'19년12월(세부내역)'!D15</x:f>
        <x:v>38896260</x:v>
      </x:c>
      <x:c r="F5" s="67">
        <x:f>'19년12월(세부내역)'!D22</x:f>
        <x:v>32820000</x:v>
      </x:c>
      <x:c r="G5" s="67">
        <x:f>'19년12월(세부내역)'!D27</x:f>
        <x:v>780000</x:v>
      </x:c>
      <x:c r="H5" s="67">
        <x:f>'19년12월(세부내역)'!D38</x:f>
        <x:v>5703776</x:v>
      </x:c>
      <x:c r="I5" s="75">
        <x:f t="shared" ref="I5:I10" si="0">+SUM(E5:H5)</x:f>
        <x:v>78200036</x:v>
      </x:c>
      <x:c r="J5" s="9">
        <x:f t="shared" ref="J5:J11" si="1">D5-I5</x:f>
        <x:v>31799964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'19년12월(세부내역)'!K4</x:f>
        <x:v>28400000</x:v>
      </x:c>
      <x:c r="E6" s="59">
        <x:f>+'19년12월(세부내역)'!K15</x:f>
        <x:v>6698132</x:v>
      </x:c>
      <x:c r="F6" s="59">
        <x:f>'19년12월(세부내역)'!K22</x:f>
        <x:v>16840000</x:v>
      </x:c>
      <x:c r="G6" s="59">
        <x:f>'19년12월(세부내역)'!K27</x:f>
        <x:v>0</x:v>
      </x:c>
      <x:c r="H6" s="59">
        <x:f>'19년12월(세부내역)'!K38</x:f>
        <x:v>14976725</x:v>
      </x:c>
      <x:c r="I6" s="75">
        <x:f t="shared" si="0"/>
        <x:v>38514857</x:v>
      </x:c>
      <x:c r="J6" s="9">
        <x:f t="shared" si="1"/>
        <x:v>-10114857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'19년12월(세부내역)'!D43</x:f>
        <x:v>11173788</x:v>
      </x:c>
      <x:c r="E7" s="59">
        <x:f>+'19년12월(세부내역)'!D59</x:f>
        <x:v>3433950</x:v>
      </x:c>
      <x:c r="F7" s="59">
        <x:f>'19년12월(세부내역)'!D64</x:f>
        <x:v>8170000</x:v>
      </x:c>
      <x:c r="G7" s="59">
        <x:f>'19년12월(세부내역)'!D69</x:f>
        <x:v>0</x:v>
      </x:c>
      <x:c r="H7" s="59">
        <x:f>'19년12월(세부내역)'!D80</x:f>
        <x:v>1081000</x:v>
      </x:c>
      <x:c r="I7" s="75">
        <x:f t="shared" si="0"/>
        <x:v>12684950</x:v>
      </x:c>
      <x:c r="J7" s="80">
        <x:f t="shared" si="1"/>
        <x:v>-1511162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'19년12월(세부내역)'!K43</x:f>
        <x:v>135500000</x:v>
      </x:c>
      <x:c r="E8" s="59">
        <x:f>'19년12월(세부내역)'!K59</x:f>
        <x:v>41817551</x:v>
      </x:c>
      <x:c r="F8" s="59">
        <x:f>'19년12월(세부내역)'!K64</x:f>
        <x:v>45575000</x:v>
      </x:c>
      <x:c r="G8" s="59">
        <x:f>'19년12월(세부내역)'!K69</x:f>
        <x:v>0</x:v>
      </x:c>
      <x:c r="H8" s="59">
        <x:f>'19년12월(세부내역)'!K80</x:f>
        <x:v>4657956</x:v>
      </x:c>
      <x:c r="I8" s="75">
        <x:f t="shared" si="0"/>
        <x:v>92050507</x:v>
      </x:c>
      <x:c r="J8" s="9">
        <x:f t="shared" si="1"/>
        <x:v>43449493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'19년12월(세부내역)'!D85</x:f>
        <x:v>15831694</x:v>
      </x:c>
      <x:c r="E9" s="59">
        <x:f>'19년12월(세부내역)'!D101</x:f>
        <x:v>3346200</x:v>
      </x:c>
      <x:c r="F9" s="59">
        <x:f>'19년12월(세부내역)'!D106</x:f>
        <x:v>14680000</x:v>
      </x:c>
      <x:c r="G9" s="59">
        <x:f>'19년12월(세부내역)'!D111</x:f>
        <x:v>0</x:v>
      </x:c>
      <x:c r="H9" s="59">
        <x:f>'19년12월(세부내역)'!D122</x:f>
        <x:v>2238120</x:v>
      </x:c>
      <x:c r="I9" s="75">
        <x:f t="shared" si="0"/>
        <x:v>20264320</x:v>
      </x:c>
      <x:c r="J9" s="9">
        <x:f t="shared" si="1"/>
        <x:v>-4432626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'19년12월(세부내역)'!K85</x:f>
        <x:v>13878508</x:v>
      </x:c>
      <x:c r="E10" s="59">
        <x:f>'19년12월(세부내역)'!K101</x:f>
        <x:v>3386900</x:v>
      </x:c>
      <x:c r="F10" s="59">
        <x:f>'19년12월(세부내역)'!K106</x:f>
        <x:v>14570000</x:v>
      </x:c>
      <x:c r="G10" s="59">
        <x:f>'19년12월(세부내역)'!K111</x:f>
        <x:v>0</x:v>
      </x:c>
      <x:c r="H10" s="59">
        <x:f>'19년12월(세부내역)'!K122</x:f>
        <x:v>1444820</x:v>
      </x:c>
      <x:c r="I10" s="75">
        <x:f t="shared" si="0"/>
        <x:v>19401720</x:v>
      </x:c>
      <x:c r="J10" s="9">
        <x:f t="shared" si="1"/>
        <x:v>-5523212</x:v>
      </x:c>
      <x:c r="K10" s="59"/>
    </x:row>
    <x:row r="11" spans="1:11" ht="30" customHeight="1">
      <x:c r="A11" s="63">
        <x:v>7</x:v>
      </x:c>
      <x:c r="B11" s="63" t="s">
        <x:v>672</x:v>
      </x:c>
      <x:c r="C11" s="58" t="s">
        <x:v>1076</x:v>
      </x:c>
      <x:c r="D11" s="74">
        <x:f>'19년12월(세부내역)'!D127</x:f>
        <x:v>0</x:v>
      </x:c>
      <x:c r="E11" s="59">
        <x:f>'19년12월(세부내역)'!D143</x:f>
        <x:v>7667605</x:v>
      </x:c>
      <x:c r="F11" s="59">
        <x:f>'19년12월(세부내역)'!D148</x:f>
        <x:v>0</x:v>
      </x:c>
      <x:c r="G11" s="59">
        <x:f>'19년12월(세부내역)'!D153</x:f>
        <x:v>350000</x:v>
      </x:c>
      <x:c r="H11" s="59">
        <x:f>'19년12월(세부내역)'!D164</x:f>
        <x:v>0</x:v>
      </x:c>
      <x:c r="I11" s="75">
        <x:f>+SUM(E11:H11)</x:f>
        <x:v>8017605</x:v>
      </x:c>
      <x:c r="J11" s="9">
        <x:f t="shared" si="1"/>
        <x:v>-8017605</x:v>
      </x:c>
      <x:c r="K11" s="71" t="s">
        <x:v>82</x:v>
      </x:c>
    </x:row>
    <x:row r="12" spans="1:11" ht="30" customHeight="1">
      <x:c r="A12" s="64"/>
      <x:c r="B12" s="64" t="s">
        <x:v>1690</x:v>
      </x:c>
      <x:c r="C12" s="65"/>
      <x:c r="D12" s="68">
        <x:f>SUM(D5:D11)</x:f>
        <x:v>314783990</x:v>
      </x:c>
      <x:c r="E12" s="66">
        <x:f t="shared" ref="E12:J12" si="2">SUM(E5:E11)</x:f>
        <x:v>105246598</x:v>
      </x:c>
      <x:c r="F12" s="66">
        <x:f t="shared" si="2"/>
        <x:v>132655000</x:v>
      </x:c>
      <x:c r="G12" s="66">
        <x:f t="shared" si="2"/>
        <x:v>1130000</x:v>
      </x:c>
      <x:c r="H12" s="66">
        <x:f t="shared" si="2"/>
        <x:v>30102397</x:v>
      </x:c>
      <x:c r="I12" s="69">
        <x:f t="shared" si="2"/>
        <x:v>269133995</x:v>
      </x:c>
      <x:c r="J12" s="66">
        <x:f t="shared" si="2"/>
        <x:v>45649995</x:v>
      </x:c>
      <x:c r="K12" s="66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N182"/>
  <x:sheetViews>
    <x:sheetView view="pageBreakPreview" topLeftCell="A52" zoomScaleNormal="100" zoomScaleSheetLayoutView="100" workbookViewId="0">
      <x:selection activeCell="D70" activeCellId="0" sqref="D70:D70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1732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89" t="s">
        <x:v>144</x:v>
      </x:c>
      <x:c r="C3" s="89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89" t="s">
        <x:v>144</x:v>
      </x:c>
      <x:c r="J3" s="89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110000000</x:v>
      </x:c>
      <x:c r="E4" s="39"/>
      <x:c r="F4" s="40">
        <x:f>+D4+E4</x:f>
        <x:v>110000000</x:v>
      </x:c>
      <x:c r="G4" s="42"/>
      <x:c r="H4" s="88" t="s">
        <x:v>151</x:v>
      </x:c>
      <x:c r="I4" s="38" t="s">
        <x:v>1679</x:v>
      </x:c>
      <x:c r="J4" s="38" t="s">
        <x:v>1030</x:v>
      </x:c>
      <x:c r="K4" s="39">
        <x:v>28400000</x:v>
      </x:c>
      <x:c r="L4" s="39">
        <x:v>63000</x:v>
      </x:c>
      <x:c r="M4" s="40">
        <x:f>+K4+L4</x:f>
        <x:v>28463000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644</x:v>
      </x:c>
      <x:c r="D5" s="20">
        <x:v>341500</x:v>
      </x:c>
      <x:c r="E5" s="20">
        <x:f>+D5*0.1</x:f>
        <x:v>34150</x:v>
      </x:c>
      <x:c r="F5" s="21">
        <x:f>+D5+E5</x:f>
        <x:v>375650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888500</x:v>
      </x:c>
      <x:c r="L5" s="20">
        <x:f>K5*0.1</x:f>
        <x:v>88850</x:v>
      </x:c>
      <x:c r="M5" s="21">
        <x:f t="shared" ref="M5:M21" si="0">+K5+L5</x:f>
        <x:v>977350</x:v>
      </x:c>
      <x:c r="N5" s="22"/>
    </x:row>
    <x:row r="6" spans="1:14" ht="20.100000000000001" customHeight="1">
      <x:c r="A6" s="299"/>
      <x:c r="B6" s="3" t="s">
        <x:v>867</x:v>
      </x:c>
      <x:c r="C6" s="3" t="s">
        <x:v>363</x:v>
      </x:c>
      <x:c r="D6" s="4">
        <x:v>17760760</x:v>
      </x:c>
      <x:c r="E6" s="4">
        <x:f t="shared" ref="E6:E12" si="1">+D6*0.1</x:f>
        <x:v>1776076</x:v>
      </x:c>
      <x:c r="F6" s="5">
        <x:f>+D6+E6</x:f>
        <x:v>19536836</x:v>
      </x:c>
      <x:c r="G6" s="6"/>
      <x:c r="H6" s="299"/>
      <x:c r="I6" s="3" t="s">
        <x:v>867</x:v>
      </x:c>
      <x:c r="J6" s="3" t="s">
        <x:v>72</x:v>
      </x:c>
      <x:c r="K6" s="4">
        <x:v>3589600</x:v>
      </x:c>
      <x:c r="L6" s="4">
        <x:f t="shared" ref="L6:L14" si="2">K6*0.1</x:f>
        <x:v>358960</x:v>
      </x:c>
      <x:c r="M6" s="5">
        <x:f t="shared" si="0"/>
        <x:v>3948560</x:v>
      </x:c>
      <x:c r="N6" s="6"/>
    </x:row>
    <x:row r="7" spans="1:14" ht="20.100000000000001" customHeight="1">
      <x:c r="A7" s="299"/>
      <x:c r="B7" s="3" t="s">
        <x:v>34</x:v>
      </x:c>
      <x:c r="C7" s="3" t="s">
        <x:v>673</x:v>
      </x:c>
      <x:c r="D7" s="4">
        <x:v>439200</x:v>
      </x:c>
      <x:c r="E7" s="4">
        <x:f t="shared" si="1"/>
        <x:v>43920</x:v>
      </x:c>
      <x:c r="F7" s="5">
        <x:f>+D7+E7</x:f>
        <x:v>483120</x:v>
      </x:c>
      <x:c r="G7" s="6"/>
      <x:c r="H7" s="299"/>
      <x:c r="I7" s="3" t="s">
        <x:v>840</x:v>
      </x:c>
      <x:c r="J7" s="3" t="s">
        <x:v>65</x:v>
      </x:c>
      <x:c r="K7" s="4">
        <x:v>139132</x:v>
      </x:c>
      <x:c r="L7" s="4">
        <x:f>K7*0.1</x:f>
        <x:v>13913.200000000001</x:v>
      </x:c>
      <x:c r="M7" s="5">
        <x:f t="shared" si="0"/>
        <x:v>153045.20000000001</x:v>
      </x:c>
      <x:c r="N7" s="6"/>
    </x:row>
    <x:row r="8" spans="1:14" ht="20.100000000000001" customHeight="1">
      <x:c r="A8" s="299"/>
      <x:c r="B8" s="3" t="s">
        <x:v>840</x:v>
      </x:c>
      <x:c r="C8" s="3" t="s">
        <x:v>385</x:v>
      </x:c>
      <x:c r="D8" s="4">
        <x:v>843500</x:v>
      </x:c>
      <x:c r="E8" s="4">
        <x:f t="shared" si="1"/>
        <x:v>84350</x:v>
      </x:c>
      <x:c r="F8" s="5">
        <x:f t="shared" ref="F8:F14" si="3">+D8+E8</x:f>
        <x:v>927850</x:v>
      </x:c>
      <x:c r="G8" s="6"/>
      <x:c r="H8" s="299"/>
      <x:c r="I8" s="3" t="s">
        <x:v>976</x:v>
      </x:c>
      <x:c r="J8" s="3" t="s">
        <x:v>350</x:v>
      </x:c>
      <x:c r="K8" s="4">
        <x:v>996700</x:v>
      </x:c>
      <x:c r="L8" s="4">
        <x:f t="shared" si="2"/>
        <x:v>99670</x:v>
      </x:c>
      <x:c r="M8" s="5">
        <x:f t="shared" si="0"/>
        <x:v>1096370</x:v>
      </x:c>
      <x:c r="N8" s="6"/>
    </x:row>
    <x:row r="9" spans="1:14" ht="20.100000000000001" customHeight="1">
      <x:c r="A9" s="299"/>
      <x:c r="B9" s="3" t="s">
        <x:v>854</x:v>
      </x:c>
      <x:c r="C9" s="3" t="s">
        <x:v>85</x:v>
      </x:c>
      <x:c r="D9" s="4">
        <x:v>7151340</x:v>
      </x:c>
      <x:c r="E9" s="4">
        <x:f t="shared" si="1"/>
        <x:v>715134</x:v>
      </x:c>
      <x:c r="F9" s="5">
        <x:f t="shared" si="3"/>
        <x:v>7866474</x:v>
      </x:c>
      <x:c r="G9" s="6"/>
      <x:c r="H9" s="299"/>
      <x:c r="I9" s="3" t="s">
        <x:v>938</x:v>
      </x:c>
      <x:c r="J9" s="3" t="s">
        <x:v>670</x:v>
      </x:c>
      <x:c r="K9" s="4">
        <x:v>609000</x:v>
      </x:c>
      <x:c r="L9" s="4">
        <x:f t="shared" si="2"/>
        <x:v>60900</x:v>
      </x:c>
      <x:c r="M9" s="5">
        <x:f t="shared" si="0"/>
        <x:v>669900</x:v>
      </x:c>
      <x:c r="N9" s="6"/>
    </x:row>
    <x:row r="10" spans="1:14" ht="20.100000000000001" customHeight="1">
      <x:c r="A10" s="299"/>
      <x:c r="B10" s="3" t="s">
        <x:v>1074</x:v>
      </x:c>
      <x:c r="C10" s="3" t="s">
        <x:v>678</x:v>
      </x:c>
      <x:c r="D10" s="4">
        <x:v>75000</x:v>
      </x:c>
      <x:c r="E10" s="4">
        <x:f t="shared" si="1"/>
        <x:v>7500</x:v>
      </x:c>
      <x:c r="F10" s="5">
        <x:f t="shared" si="3"/>
        <x:v>82500</x:v>
      </x:c>
      <x:c r="G10" s="6"/>
      <x:c r="H10" s="299"/>
      <x:c r="I10" s="3" t="s">
        <x:v>846</x:v>
      </x:c>
      <x:c r="J10" s="3" t="s">
        <x:v>27</x:v>
      </x:c>
      <x:c r="K10" s="4">
        <x:v>475200</x:v>
      </x:c>
      <x:c r="L10" s="4">
        <x:f>K10*0.1</x:f>
        <x:v>47520</x:v>
      </x:c>
      <x:c r="M10" s="5">
        <x:f>+K10+L10</x:f>
        <x:v>522720</x:v>
      </x:c>
      <x:c r="N10" s="6"/>
    </x:row>
    <x:row r="11" spans="1:14" ht="20.100000000000001" customHeight="1">
      <x:c r="A11" s="299"/>
      <x:c r="B11" s="3" t="s">
        <x:v>1052</x:v>
      </x:c>
      <x:c r="C11" s="3" t="s">
        <x:v>377</x:v>
      </x:c>
      <x:c r="D11" s="4">
        <x:v>9386360</x:v>
      </x:c>
      <x:c r="E11" s="4">
        <x:f t="shared" si="1"/>
        <x:v>938636</x:v>
      </x:c>
      <x:c r="F11" s="5">
        <x:f t="shared" si="3"/>
        <x:v>10324996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 t="s">
        <x:v>938</x:v>
      </x:c>
      <x:c r="C12" s="3" t="s">
        <x:v>1094</x:v>
      </x:c>
      <x:c r="D12" s="44">
        <x:v>614400</x:v>
      </x:c>
      <x:c r="E12" s="44">
        <x:f t="shared" si="1"/>
        <x:v>61440</x:v>
      </x:c>
      <x:c r="F12" s="45">
        <x:f t="shared" si="3"/>
        <x:v>675840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 t="s">
        <x:v>846</x:v>
      </x:c>
      <x:c r="C13" s="3" t="s">
        <x:v>680</x:v>
      </x:c>
      <x:c r="D13" s="44">
        <x:v>2284200</x:v>
      </x:c>
      <x:c r="E13" s="44">
        <x:f>+D13*0.1</x:f>
        <x:v>228420</x:v>
      </x:c>
      <x:c r="F13" s="45">
        <x:f>+D13+E13</x:f>
        <x:v>2512620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3"/>
        <x:v>0</x:v>
      </x:c>
      <x:c r="G14" s="6"/>
      <x:c r="H14" s="300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38896260</x:v>
      </x:c>
      <x:c r="E15" s="9">
        <x:f>SUM(E5:E14)</x:f>
        <x:v>3889626</x:v>
      </x:c>
      <x:c r="F15" s="10">
        <x:f>SUM(F5:F14)</x:f>
        <x:v>42785886</x:v>
      </x:c>
      <x:c r="G15" s="11"/>
      <x:c r="H15" s="7"/>
      <x:c r="I15" s="8"/>
      <x:c r="J15" s="8"/>
      <x:c r="K15" s="9">
        <x:f>SUM(K5:K14)</x:f>
        <x:v>6698132</x:v>
      </x:c>
      <x:c r="L15" s="9">
        <x:f>SUM(L5:L14)</x:f>
        <x:v>669813.19999999995</x:v>
      </x:c>
      <x:c r="M15" s="10">
        <x:f>SUM(M5:M14)</x:f>
        <x:v>7367945.2000000002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 t="s">
        <x:v>1079</x:v>
      </x:c>
      <x:c r="D16" s="44">
        <x:v>32820000</x:v>
      </x:c>
      <x:c r="E16" s="44"/>
      <x:c r="F16" s="45">
        <x:f t="shared" ref="F16:F21" si="4">+D16+E16</x:f>
        <x:v>32820000</x:v>
      </x:c>
      <x:c r="G16" s="37"/>
      <x:c r="H16" s="301" t="s">
        <x:v>153</x:v>
      </x:c>
      <x:c r="I16" s="3" t="s">
        <x:v>1677</x:v>
      </x:c>
      <x:c r="J16" s="3" t="s">
        <x:v>1083</x:v>
      </x:c>
      <x:c r="K16" s="4">
        <x:v>16840000</x:v>
      </x:c>
      <x:c r="L16" s="4"/>
      <x:c r="M16" s="5">
        <x:f t="shared" si="0"/>
        <x:v>16840000</x:v>
      </x:c>
      <x:c r="N16" s="6"/>
    </x:row>
    <x:row r="17" spans="1:14" ht="20.100000000000001" customHeight="1">
      <x:c r="A17" s="299"/>
      <x:c r="B17" s="3" t="s">
        <x:v>999</x:v>
      </x:c>
      <x:c r="C17" s="3" t="s">
        <x:v>1002</x:v>
      </x:c>
      <x:c r="D17" s="4"/>
      <x:c r="E17" s="4"/>
      <x:c r="F17" s="5">
        <x:f t="shared" si="4"/>
        <x:v>0</x:v>
      </x:c>
      <x:c r="G17" s="37"/>
      <x:c r="H17" s="299"/>
      <x:c r="I17" s="3"/>
      <x:c r="J17" s="3"/>
      <x:c r="K17" s="4"/>
      <x:c r="L17" s="4">
        <x:f>+K17*0.1</x:f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 t="s">
        <x:v>1026</x:v>
      </x:c>
      <x:c r="C18" s="3" t="s">
        <x:v>1029</x:v>
      </x:c>
      <x:c r="D18" s="4"/>
      <x:c r="E18" s="4"/>
      <x:c r="F18" s="5">
        <x:f t="shared" si="4"/>
        <x:v>0</x:v>
      </x:c>
      <x:c r="G18" s="37"/>
      <x:c r="H18" s="299"/>
      <x:c r="I18" s="3"/>
      <x:c r="J18" s="3"/>
      <x:c r="K18" s="4"/>
      <x:c r="L18" s="4">
        <x:f>+K18*0.1</x:f>
        <x:v>0</x:v>
      </x:c>
      <x:c r="M18" s="5">
        <x:f t="shared" si="0"/>
        <x:v>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 t="shared" si="4"/>
        <x:v>0</x:v>
      </x:c>
      <x:c r="G19" s="6"/>
      <x:c r="H19" s="299"/>
      <x:c r="I19" s="3"/>
      <x:c r="J19" s="3"/>
      <x:c r="K19" s="4"/>
      <x:c r="L19" s="4"/>
      <x:c r="M19" s="5">
        <x:f t="shared" si="0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4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4"/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32820000</x:v>
      </x:c>
      <x:c r="E22" s="9">
        <x:f>SUM(E16:E21)</x:f>
        <x:v>0</x:v>
      </x:c>
      <x:c r="F22" s="10">
        <x:f>SUM(F16:F21)</x:f>
        <x:v>32820000</x:v>
      </x:c>
      <x:c r="G22" s="11"/>
      <x:c r="H22" s="7"/>
      <x:c r="I22" s="8"/>
      <x:c r="J22" s="8"/>
      <x:c r="K22" s="9">
        <x:f>SUM(K16:K21)</x:f>
        <x:v>16840000</x:v>
      </x:c>
      <x:c r="L22" s="9">
        <x:f>SUM(L16:L21)</x:f>
        <x:v>0</x:v>
      </x:c>
      <x:c r="M22" s="10">
        <x:f>SUM(M16:M21)</x:f>
        <x:v>16840000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180000</x:v>
      </x:c>
      <x:c r="E23" s="4">
        <x:f>+D23*0.1</x:f>
        <x:v>18000</x:v>
      </x:c>
      <x:c r="F23" s="5">
        <x:f>+D23+E23</x:f>
        <x:v>198000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/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780000</x:v>
      </x:c>
      <x:c r="E27" s="9">
        <x:f>SUM(E23:E26)</x:f>
        <x:v>78000</x:v>
      </x:c>
      <x:c r="F27" s="10">
        <x:f>SUM(F23:F26)</x:f>
        <x:v>858000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952</x:v>
      </x:c>
      <x:c r="C28" s="3" t="s">
        <x:v>28</x:v>
      </x:c>
      <x:c r="D28" s="4">
        <x:v>1317000</x:v>
      </x:c>
      <x:c r="E28" s="4">
        <x:f>+D28*0.1</x:f>
        <x:v>131700</x:v>
      </x:c>
      <x:c r="F28" s="5">
        <x:f>+D28+E28</x:f>
        <x:v>1448700</x:v>
      </x:c>
      <x:c r="G28" s="6"/>
      <x:c r="H28" s="301" t="s">
        <x:v>149</x:v>
      </x:c>
      <x:c r="I28" s="3" t="s">
        <x:v>1091</x:v>
      </x:c>
      <x:c r="J28" s="3" t="s">
        <x:v>28</x:v>
      </x:c>
      <x:c r="K28" s="4">
        <x:v>519545</x:v>
      </x:c>
      <x:c r="L28" s="4">
        <x:f>+K28*0.1</x:f>
        <x:v>51954.5</x:v>
      </x:c>
      <x:c r="M28" s="5">
        <x:f t="shared" ref="M28:M37" si="5">+K28+L28</x:f>
        <x:v>571499.5</x:v>
      </x:c>
      <x:c r="N28" s="6"/>
    </x:row>
    <x:row r="29" spans="1:14" ht="20.100000000000001" customHeight="1">
      <x:c r="A29" s="299"/>
      <x:c r="B29" s="3" t="s">
        <x:v>959</x:v>
      </x:c>
      <x:c r="C29" s="3" t="s">
        <x:v>825</x:v>
      </x:c>
      <x:c r="D29" s="4">
        <x:v>1045000</x:v>
      </x:c>
      <x:c r="E29" s="4">
        <x:f>+D29*0.1</x:f>
        <x:v>104500</x:v>
      </x:c>
      <x:c r="F29" s="5">
        <x:f>+D29+E29</x:f>
        <x:v>1149500</x:v>
      </x:c>
      <x:c r="G29" s="6"/>
      <x:c r="H29" s="299"/>
      <x:c r="I29" s="3" t="s">
        <x:v>217</x:v>
      </x:c>
      <x:c r="J29" s="3" t="s">
        <x:v>1071</x:v>
      </x:c>
      <x:c r="K29" s="4">
        <x:v>10000000</x:v>
      </x:c>
      <x:c r="L29" s="4"/>
      <x:c r="M29" s="5">
        <x:f t="shared" si="5"/>
        <x:v>10000000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217</x:v>
      </x:c>
      <x:c r="J30" s="3" t="s">
        <x:v>941</x:v>
      </x:c>
      <x:c r="K30" s="4">
        <x:v>1000000</x:v>
      </x:c>
      <x:c r="L30" s="4">
        <x:f>+K30*0.1</x:f>
        <x:v>100000</x:v>
      </x:c>
      <x:c r="M30" s="5">
        <x:f t="shared" si="5"/>
        <x:v>1100000</x:v>
      </x:c>
      <x:c r="N30" s="6" t="s">
        <x:v>1073</x:v>
      </x:c>
    </x:row>
    <x:row r="31" spans="1:14" ht="20.100000000000001" customHeight="1">
      <x:c r="A31" s="299"/>
      <x:c r="B31" s="3" t="s">
        <x:v>923</x:v>
      </x:c>
      <x:c r="C31" s="3" t="s">
        <x:v>896</x:v>
      </x:c>
      <x:c r="D31" s="4">
        <x:v>300000</x:v>
      </x:c>
      <x:c r="E31" s="4">
        <x:f>+D31*0.1</x:f>
        <x:v>30000</x:v>
      </x:c>
      <x:c r="F31" s="5">
        <x:f>+D31+E31</x:f>
        <x:v>330000</x:v>
      </x:c>
      <x:c r="G31" s="6"/>
      <x:c r="H31" s="299"/>
      <x:c r="I31" s="3" t="s">
        <x:v>883</x:v>
      </x:c>
      <x:c r="J31" s="3" t="s">
        <x:v>896</x:v>
      </x:c>
      <x:c r="K31" s="4"/>
      <x:c r="L31" s="4">
        <x:f>K31*0.1</x:f>
        <x:v>0</x:v>
      </x:c>
      <x:c r="M31" s="5">
        <x:f t="shared" si="5"/>
        <x:v>0</x:v>
      </x:c>
      <x:c r="N31" s="6" t="s">
        <x:v>1084</x:v>
      </x:c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6">+D32+E32</x:f>
        <x:v>143000</x:v>
      </x:c>
      <x:c r="G32" s="6"/>
      <x:c r="H32" s="299"/>
      <x:c r="I32" s="3" t="s">
        <x:v>1680</x:v>
      </x:c>
      <x:c r="J32" s="3" t="s">
        <x:v>1695</x:v>
      </x:c>
      <x:c r="K32" s="4"/>
      <x:c r="L32" s="4">
        <x:f>K32*0.1</x:f>
        <x:v>0</x:v>
      </x:c>
      <x:c r="M32" s="5">
        <x:f t="shared" si="5"/>
        <x:v>0</x:v>
      </x:c>
      <x:c r="N32" s="6"/>
    </x:row>
    <x:row r="33" spans="1:14" ht="20.100000000000001" customHeight="1">
      <x:c r="A33" s="299"/>
      <x:c r="B33" s="3" t="s">
        <x:v>185</x:v>
      </x:c>
      <x:c r="C33" s="3" t="s">
        <x:v>149</x:v>
      </x:c>
      <x:c r="D33" s="44">
        <x:v>1832230</x:v>
      </x:c>
      <x:c r="E33" s="44">
        <x:v>7000</x:v>
      </x:c>
      <x:c r="F33" s="45">
        <x:f t="shared" si="6"/>
        <x:v>1839230</x:v>
      </x:c>
      <x:c r="G33" s="6"/>
      <x:c r="H33" s="299"/>
      <x:c r="I33" s="3" t="s">
        <x:v>169</x:v>
      </x:c>
      <x:c r="J33" s="3" t="s">
        <x:v>149</x:v>
      </x:c>
      <x:c r="K33" s="4">
        <x:v>1904960</x:v>
      </x:c>
      <x:c r="L33" s="4"/>
      <x:c r="M33" s="5">
        <x:f t="shared" si="5"/>
        <x:v>1904960</x:v>
      </x:c>
      <x:c r="N33" s="6"/>
    </x:row>
    <x:row r="34" spans="1:14" ht="20.100000000000001" customHeight="1">
      <x:c r="A34" s="299"/>
      <x:c r="B34" s="3" t="s">
        <x:v>1699</x:v>
      </x:c>
      <x:c r="C34" s="3" t="s">
        <x:v>167</x:v>
      </x:c>
      <x:c r="D34" s="4">
        <x:v>105000</x:v>
      </x:c>
      <x:c r="E34" s="4">
        <x:f>+D34*0.1</x:f>
        <x:v>10500</x:v>
      </x:c>
      <x:c r="F34" s="5">
        <x:f t="shared" si="6"/>
        <x:v>115500</x:v>
      </x:c>
      <x:c r="G34" s="6"/>
      <x:c r="H34" s="299"/>
      <x:c r="I34" s="3" t="s">
        <x:v>669</x:v>
      </x:c>
      <x:c r="J34" s="3" t="s">
        <x:v>1072</x:v>
      </x:c>
      <x:c r="K34" s="4">
        <x:v>240000</x:v>
      </x:c>
      <x:c r="L34" s="4"/>
      <x:c r="M34" s="5">
        <x:f t="shared" si="5"/>
        <x:v>240000</x:v>
      </x:c>
      <x:c r="N34" s="6"/>
    </x:row>
    <x:row r="35" spans="1:14" ht="20.100000000000001" customHeight="1">
      <x:c r="A35" s="299"/>
      <x:c r="B35" s="3" t="s">
        <x:v>994</x:v>
      </x:c>
      <x:c r="C35" s="3" t="s">
        <x:v>8</x:v>
      </x:c>
      <x:c r="D35" s="4">
        <x:v>424546</x:v>
      </x:c>
      <x:c r="E35" s="4">
        <x:f>+D35*0.1-1</x:f>
        <x:v>42453.600000000006</x:v>
      </x:c>
      <x:c r="F35" s="5">
        <x:f t="shared" si="6"/>
        <x:v>466999.59999999998</x:v>
      </x:c>
      <x:c r="G35" s="6"/>
      <x:c r="H35" s="299"/>
      <x:c r="I35" s="3" t="s">
        <x:v>1090</x:v>
      </x:c>
      <x:c r="J35" s="3" t="s">
        <x:v>389</x:v>
      </x:c>
      <x:c r="K35" s="4">
        <x:v>1312220</x:v>
      </x:c>
      <x:c r="L35" s="4"/>
      <x:c r="M35" s="5">
        <x:f t="shared" si="5"/>
        <x:v>1312220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6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6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5703776</x:v>
      </x:c>
      <x:c r="E38" s="9">
        <x:f>SUM(E28:E37)</x:f>
        <x:v>339153.59999999998</x:v>
      </x:c>
      <x:c r="F38" s="10">
        <x:f>SUM(F28:F37)</x:f>
        <x:v>6042929.5999999996</x:v>
      </x:c>
      <x:c r="G38" s="11"/>
      <x:c r="H38" s="7"/>
      <x:c r="I38" s="8"/>
      <x:c r="J38" s="8"/>
      <x:c r="K38" s="9">
        <x:f>SUM(K28:K37)</x:f>
        <x:v>14976725</x:v>
      </x:c>
      <x:c r="L38" s="9">
        <x:f>SUM(L28:L37)</x:f>
        <x:v>151954.5</x:v>
      </x:c>
      <x:c r="M38" s="10">
        <x:f>SUM(M28:M37)</x:f>
        <x:v>15128679.5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78200036</x:v>
      </x:c>
      <x:c r="E39" s="14">
        <x:f>+E15+E22+E27+E38</x:f>
        <x:v>4306779.5999999996</x:v>
      </x:c>
      <x:c r="F39" s="15">
        <x:f>+F15+F22+F27+F38</x:f>
        <x:v>82506815.599999994</x:v>
      </x:c>
      <x:c r="G39" s="16"/>
      <x:c r="H39" s="12"/>
      <x:c r="I39" s="13"/>
      <x:c r="J39" s="13"/>
      <x:c r="K39" s="14">
        <x:f>+K15+K22+K27+K38</x:f>
        <x:v>38514857</x:v>
      </x:c>
      <x:c r="L39" s="14">
        <x:f>+L15+L22+L27+L38</x:f>
        <x:v>821767.69999999995</x:v>
      </x:c>
      <x:c r="M39" s="15">
        <x:f>+M15+M22+M27+M38</x:f>
        <x:v>39336624.700000003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31799964</x:v>
      </x:c>
      <x:c r="E40" s="25">
        <x:f>+E4-E39</x:f>
        <x:v>-4306779.5999999996</x:v>
      </x:c>
      <x:c r="F40" s="26">
        <x:f>+F4-F39</x:f>
        <x:v>27493184.400000006</x:v>
      </x:c>
      <x:c r="G40" s="27"/>
      <x:c r="H40" s="23"/>
      <x:c r="I40" s="24"/>
      <x:c r="J40" s="24"/>
      <x:c r="K40" s="25">
        <x:f>+K4-K39</x:f>
        <x:v>-10114857</x:v>
      </x:c>
      <x:c r="L40" s="25">
        <x:f>+L4-L39</x:f>
        <x:v>-758767.69999999995</x:v>
      </x:c>
      <x:c r="M40" s="26">
        <x:f>+M4-M39</x:f>
        <x:v>-10873624.700000003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89" t="s">
        <x:v>144</x:v>
      </x:c>
      <x:c r="C42" s="89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89" t="s">
        <x:v>144</x:v>
      </x:c>
      <x:c r="J42" s="89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88" t="s">
        <x:v>151</x:v>
      </x:c>
      <x:c r="B43" s="38" t="s">
        <x:v>1679</x:v>
      </x:c>
      <x:c r="C43" s="38" t="s">
        <x:v>1030</x:v>
      </x:c>
      <x:c r="D43" s="39">
        <x:v>11173788</x:v>
      </x:c>
      <x:c r="E43" s="39">
        <x:v>826212</x:v>
      </x:c>
      <x:c r="F43" s="40">
        <x:f t="shared" ref="F43:F48" si="7">+D43+E43</x:f>
        <x:v>12000000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v>135500000</x:v>
      </x:c>
      <x:c r="L43" s="39">
        <x:v>1530000</x:v>
      </x:c>
      <x:c r="M43" s="40">
        <x:f>+K43+L43</x:f>
        <x:v>137030000</x:v>
      </x:c>
      <x:c r="N43" s="42" t="s">
        <x:v>1078</x:v>
      </x:c>
    </x:row>
    <x:row r="44" spans="1:14" ht="20.100000000000001" customHeight="1">
      <x:c r="A44" s="298" t="s">
        <x:v>148</x:v>
      </x:c>
      <x:c r="B44" s="19" t="s">
        <x:v>838</x:v>
      </x:c>
      <x:c r="C44" s="19" t="s">
        <x:v>675</x:v>
      </x:c>
      <x:c r="D44" s="20">
        <x:v>946900</x:v>
      </x:c>
      <x:c r="E44" s="20">
        <x:f t="shared" ref="E44:E49" si="8">D44*0.1</x:f>
        <x:v>94690</x:v>
      </x:c>
      <x:c r="F44" s="21">
        <x:f t="shared" si="7"/>
        <x:v>1041590</x:v>
      </x:c>
      <x:c r="G44" s="22"/>
      <x:c r="H44" s="298" t="s">
        <x:v>148</x:v>
      </x:c>
      <x:c r="I44" s="19" t="s">
        <x:v>838</x:v>
      </x:c>
      <x:c r="J44" s="19" t="s">
        <x:v>675</x:v>
      </x:c>
      <x:c r="K44" s="20">
        <x:v>78000</x:v>
      </x:c>
      <x:c r="L44" s="20">
        <x:f>K44*0.1</x:f>
        <x:v>7800</x:v>
      </x:c>
      <x:c r="M44" s="21">
        <x:f t="shared" ref="M44:M58" si="9">+K44+L44</x:f>
        <x:v>85800</x:v>
      </x:c>
      <x:c r="N44" s="22"/>
    </x:row>
    <x:row r="45" spans="1:14" ht="20.100000000000001" customHeight="1">
      <x:c r="A45" s="299"/>
      <x:c r="B45" s="3" t="s">
        <x:v>840</x:v>
      </x:c>
      <x:c r="C45" s="3" t="s">
        <x:v>65</x:v>
      </x:c>
      <x:c r="D45" s="4">
        <x:v>72350</x:v>
      </x:c>
      <x:c r="E45" s="4">
        <x:f t="shared" si="8"/>
        <x:v>7235</x:v>
      </x:c>
      <x:c r="F45" s="5">
        <x:f t="shared" si="7"/>
        <x:v>79585</x:v>
      </x:c>
      <x:c r="G45" s="6"/>
      <x:c r="H45" s="299"/>
      <x:c r="I45" s="3" t="s">
        <x:v>34</x:v>
      </x:c>
      <x:c r="J45" s="3" t="s">
        <x:v>677</x:v>
      </x:c>
      <x:c r="K45" s="4">
        <x:v>55000</x:v>
      </x:c>
      <x:c r="L45" s="4">
        <x:f>K45*0.1</x:f>
        <x:v>5500</x:v>
      </x:c>
      <x:c r="M45" s="5">
        <x:f t="shared" si="9"/>
        <x:v>60500</x:v>
      </x:c>
      <x:c r="N45" s="6"/>
    </x:row>
    <x:row r="46" spans="1:14" ht="20.100000000000001" customHeight="1">
      <x:c r="A46" s="299"/>
      <x:c r="B46" s="3" t="s">
        <x:v>21</x:v>
      </x:c>
      <x:c r="C46" s="3" t="s">
        <x:v>1035</x:v>
      </x:c>
      <x:c r="D46" s="4">
        <x:v>1432900</x:v>
      </x:c>
      <x:c r="E46" s="4">
        <x:f t="shared" si="8"/>
        <x:v>143290</x:v>
      </x:c>
      <x:c r="F46" s="5">
        <x:f t="shared" si="7"/>
        <x:v>1576190</x:v>
      </x:c>
      <x:c r="G46" s="6"/>
      <x:c r="H46" s="299"/>
      <x:c r="I46" s="3" t="s">
        <x:v>21</x:v>
      </x:c>
      <x:c r="J46" s="3" t="s">
        <x:v>33</x:v>
      </x:c>
      <x:c r="K46" s="4">
        <x:v>16666766</x:v>
      </x:c>
      <x:c r="L46" s="4">
        <x:f>K46*0.1-10</x:f>
        <x:v>1666666.6000000001</x:v>
      </x:c>
      <x:c r="M46" s="5">
        <x:f t="shared" si="9"/>
        <x:v>18333432.600000001</x:v>
      </x:c>
      <x:c r="N46" s="6"/>
    </x:row>
    <x:row r="47" spans="1:14" ht="20.100000000000001" customHeight="1">
      <x:c r="A47" s="299"/>
      <x:c r="B47" s="3" t="s">
        <x:v>938</x:v>
      </x:c>
      <x:c r="C47" s="3" t="s">
        <x:v>191</x:v>
      </x:c>
      <x:c r="D47" s="4">
        <x:v>261000</x:v>
      </x:c>
      <x:c r="E47" s="4">
        <x:f t="shared" si="8"/>
        <x:v>26100</x:v>
      </x:c>
      <x:c r="F47" s="5">
        <x:f t="shared" si="7"/>
        <x:v>287100</x:v>
      </x:c>
      <x:c r="G47" s="6"/>
      <x:c r="H47" s="299"/>
      <x:c r="I47" s="3" t="s">
        <x:v>1705</x:v>
      </x:c>
      <x:c r="J47" s="3" t="s">
        <x:v>679</x:v>
      </x:c>
      <x:c r="K47" s="4">
        <x:v>50100</x:v>
      </x:c>
      <x:c r="L47" s="4">
        <x:f t="shared" ref="L47:L52" si="10">K47*0.1</x:f>
        <x:v>5010</x:v>
      </x:c>
      <x:c r="M47" s="5">
        <x:f t="shared" si="9"/>
        <x:v>55110</x:v>
      </x:c>
      <x:c r="N47" s="6"/>
    </x:row>
    <x:row r="48" spans="1:14" ht="20.100000000000001" customHeight="1">
      <x:c r="A48" s="299"/>
      <x:c r="B48" s="3" t="s">
        <x:v>846</x:v>
      </x:c>
      <x:c r="C48" s="3" t="s">
        <x:v>397</x:v>
      </x:c>
      <x:c r="D48" s="4">
        <x:v>720800</x:v>
      </x:c>
      <x:c r="E48" s="4">
        <x:f>D48*0.1</x:f>
        <x:v>72080</x:v>
      </x:c>
      <x:c r="F48" s="5">
        <x:f t="shared" si="7"/>
        <x:v>792880</x:v>
      </x:c>
      <x:c r="G48" s="6"/>
      <x:c r="H48" s="299"/>
      <x:c r="I48" s="3" t="s">
        <x:v>840</x:v>
      </x:c>
      <x:c r="J48" s="3" t="s">
        <x:v>102</x:v>
      </x:c>
      <x:c r="K48" s="4">
        <x:v>1421605</x:v>
      </x:c>
      <x:c r="L48" s="4">
        <x:f t="shared" si="10"/>
        <x:v>142160.5</x:v>
      </x:c>
      <x:c r="M48" s="5">
        <x:f t="shared" si="9"/>
        <x:v>1563765.5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8"/>
        <x:v>0</x:v>
      </x:c>
      <x:c r="F49" s="5">
        <x:f t="shared" ref="F49:F57" si="11">+D49+E49</x:f>
        <x:v>0</x:v>
      </x:c>
      <x:c r="G49" s="6"/>
      <x:c r="H49" s="299"/>
      <x:c r="I49" s="3" t="s">
        <x:v>1058</x:v>
      </x:c>
      <x:c r="J49" s="3" t="s">
        <x:v>99</x:v>
      </x:c>
      <x:c r="K49" s="4">
        <x:v>378750</x:v>
      </x:c>
      <x:c r="L49" s="4">
        <x:f t="shared" si="10"/>
        <x:v>37875</x:v>
      </x:c>
      <x:c r="M49" s="5">
        <x:f t="shared" si="9"/>
        <x:v>416625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12">+INT(D50*0.1)</x:f>
        <x:v>0</x:v>
      </x:c>
      <x:c r="F50" s="5">
        <x:f t="shared" si="11"/>
        <x:v>0</x:v>
      </x:c>
      <x:c r="G50" s="6"/>
      <x:c r="H50" s="299"/>
      <x:c r="I50" s="3" t="s">
        <x:v>967</x:v>
      </x:c>
      <x:c r="J50" s="3" t="s">
        <x:v>674</x:v>
      </x:c>
      <x:c r="K50" s="4">
        <x:v>107800</x:v>
      </x:c>
      <x:c r="L50" s="4">
        <x:f t="shared" si="10"/>
        <x:v>10780</x:v>
      </x:c>
      <x:c r="M50" s="5">
        <x:f t="shared" si="9"/>
        <x:v>118580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12"/>
        <x:v>0</x:v>
      </x:c>
      <x:c r="F51" s="5">
        <x:f t="shared" si="11"/>
        <x:v>0</x:v>
      </x:c>
      <x:c r="G51" s="6"/>
      <x:c r="H51" s="299"/>
      <x:c r="I51" s="3" t="s">
        <x:v>854</x:v>
      </x:c>
      <x:c r="J51" s="3" t="s">
        <x:v>676</x:v>
      </x:c>
      <x:c r="K51" s="4">
        <x:v>17623030</x:v>
      </x:c>
      <x:c r="L51" s="4">
        <x:f t="shared" si="10"/>
        <x:v>1762303</x:v>
      </x:c>
      <x:c r="M51" s="5">
        <x:f t="shared" si="9"/>
        <x:v>19385333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12"/>
        <x:v>0</x:v>
      </x:c>
      <x:c r="F52" s="5">
        <x:f t="shared" si="11"/>
        <x:v>0</x:v>
      </x:c>
      <x:c r="G52" s="6"/>
      <x:c r="H52" s="299"/>
      <x:c r="I52" s="3" t="s">
        <x:v>956</x:v>
      </x:c>
      <x:c r="J52" s="3" t="s">
        <x:v>682</x:v>
      </x:c>
      <x:c r="K52" s="4">
        <x:v>2900000</x:v>
      </x:c>
      <x:c r="L52" s="4">
        <x:f t="shared" si="10"/>
        <x:v>290000</x:v>
      </x:c>
      <x:c r="M52" s="5">
        <x:f>+K52+L52</x:f>
        <x:v>3190000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2"/>
        <x:v>0</x:v>
      </x:c>
      <x:c r="F53" s="5">
        <x:f t="shared" si="11"/>
        <x:v>0</x:v>
      </x:c>
      <x:c r="G53" s="6"/>
      <x:c r="H53" s="299"/>
      <x:c r="I53" s="3" t="s">
        <x:v>846</x:v>
      </x:c>
      <x:c r="J53" s="3" t="s">
        <x:v>388</x:v>
      </x:c>
      <x:c r="K53" s="4">
        <x:v>1637400</x:v>
      </x:c>
      <x:c r="L53" s="4">
        <x:f t="shared" ref="L53:L58" si="13">+K53*0.1</x:f>
        <x:v>163740</x:v>
      </x:c>
      <x:c r="M53" s="5">
        <x:f>+K53+L53</x:f>
        <x:v>1801140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2"/>
        <x:v>0</x:v>
      </x:c>
      <x:c r="F54" s="5">
        <x:f t="shared" si="11"/>
        <x:v>0</x:v>
      </x:c>
      <x:c r="G54" s="6"/>
      <x:c r="H54" s="299"/>
      <x:c r="I54" s="3" t="s">
        <x:v>394</x:v>
      </x:c>
      <x:c r="J54" s="3" t="s">
        <x:v>1093</x:v>
      </x:c>
      <x:c r="K54" s="4">
        <x:v>899100</x:v>
      </x:c>
      <x:c r="L54" s="4">
        <x:f t="shared" si="13"/>
        <x:v>89910</x:v>
      </x:c>
      <x:c r="M54" s="5">
        <x:f>+K54+L54</x:f>
        <x:v>989010</x:v>
      </x:c>
      <x:c r="N54" s="6" t="s">
        <x:v>1069</x:v>
      </x:c>
    </x:row>
    <x:row r="55" spans="1:14" ht="20.100000000000001" customHeight="1">
      <x:c r="A55" s="299"/>
      <x:c r="B55" s="3"/>
      <x:c r="C55" s="3"/>
      <x:c r="D55" s="4"/>
      <x:c r="E55" s="4">
        <x:f t="shared" si="12"/>
        <x:v>0</x:v>
      </x:c>
      <x:c r="F55" s="5">
        <x:f t="shared" si="11"/>
        <x:v>0</x:v>
      </x:c>
      <x:c r="G55" s="6"/>
      <x:c r="H55" s="299"/>
      <x:c r="I55" s="3"/>
      <x:c r="J55" s="3"/>
      <x:c r="K55" s="4"/>
      <x:c r="L55" s="4">
        <x:f t="shared" si="13"/>
        <x:v>0</x:v>
      </x:c>
      <x:c r="M55" s="5">
        <x:f t="shared" si="9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2"/>
        <x:v>0</x:v>
      </x:c>
      <x:c r="F56" s="5">
        <x:f t="shared" si="11"/>
        <x:v>0</x:v>
      </x:c>
      <x:c r="G56" s="6"/>
      <x:c r="H56" s="299"/>
      <x:c r="I56" s="3"/>
      <x:c r="J56" s="3"/>
      <x:c r="K56" s="4"/>
      <x:c r="L56" s="4">
        <x:f t="shared" si="13"/>
        <x:v>0</x:v>
      </x:c>
      <x:c r="M56" s="5">
        <x:f t="shared" si="9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2"/>
        <x:v>0</x:v>
      </x:c>
      <x:c r="F57" s="5">
        <x:f t="shared" si="11"/>
        <x:v>0</x:v>
      </x:c>
      <x:c r="G57" s="6"/>
      <x:c r="H57" s="299"/>
      <x:c r="I57" s="3"/>
      <x:c r="J57" s="3"/>
      <x:c r="K57" s="4"/>
      <x:c r="L57" s="4">
        <x:f t="shared" si="13"/>
        <x:v>0</x:v>
      </x:c>
      <x:c r="M57" s="5">
        <x:f t="shared" si="9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 t="shared" si="13"/>
        <x:v>0</x:v>
      </x:c>
      <x:c r="M58" s="5">
        <x:f t="shared" si="9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3433950</x:v>
      </x:c>
      <x:c r="E59" s="9">
        <x:f>SUM(E44:E58)</x:f>
        <x:v>343395</x:v>
      </x:c>
      <x:c r="F59" s="10">
        <x:f>SUM(F44:F58)</x:f>
        <x:v>3777345</x:v>
      </x:c>
      <x:c r="G59" s="11"/>
      <x:c r="H59" s="7"/>
      <x:c r="I59" s="8"/>
      <x:c r="J59" s="8"/>
      <x:c r="K59" s="9">
        <x:f>SUM(K44:K58)</x:f>
        <x:v>41817551</x:v>
      </x:c>
      <x:c r="L59" s="9">
        <x:f>SUM(L44:L58)</x:f>
        <x:v>4181745.1000000001</x:v>
      </x:c>
      <x:c r="M59" s="10">
        <x:f>SUM(M44:M58)</x:f>
        <x:v>45999296.100000001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/>
      <x:c r="D60" s="44">
        <x:v>8170000</x:v>
      </x:c>
      <x:c r="E60" s="44"/>
      <x:c r="F60" s="45">
        <x:f>+D60+E60</x:f>
        <x:v>8170000</x:v>
      </x:c>
      <x:c r="G60" s="37"/>
      <x:c r="H60" s="301" t="s">
        <x:v>153</x:v>
      </x:c>
      <x:c r="I60" s="3" t="s">
        <x:v>1677</x:v>
      </x:c>
      <x:c r="J60" s="3"/>
      <x:c r="K60" s="4">
        <x:v>45575000</x:v>
      </x:c>
      <x:c r="L60" s="4"/>
      <x:c r="M60" s="5">
        <x:f>+K60+L60</x:f>
        <x:v>45575000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8170000</x:v>
      </x:c>
      <x:c r="E64" s="9">
        <x:f>SUM(E60:E63)</x:f>
        <x:v>0</x:v>
      </x:c>
      <x:c r="F64" s="10">
        <x:f>SUM(F60:F63)</x:f>
        <x:v>8170000</x:v>
      </x:c>
      <x:c r="G64" s="11"/>
      <x:c r="H64" s="7"/>
      <x:c r="I64" s="8"/>
      <x:c r="J64" s="8"/>
      <x:c r="K64" s="9">
        <x:f>SUM(K60:K63)</x:f>
        <x:v>45575000</x:v>
      </x:c>
      <x:c r="L64" s="9">
        <x:f>SUM(L60:L63)</x:f>
        <x:v>0</x:v>
      </x:c>
      <x:c r="M64" s="10">
        <x:f>SUM(M60:M63)</x:f>
        <x:v>45575000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 t="s">
        <x:v>1040</x:v>
      </x:c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2378390</x:v>
      </x:c>
      <x:c r="L70" s="4"/>
      <x:c r="M70" s="5">
        <x:f t="shared" ref="M70:M77" si="14">+K70+L70</x:f>
        <x:v>2378390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276000</x:v>
      </x:c>
      <x:c r="E71" s="4"/>
      <x:c r="F71" s="5">
        <x:f t="shared" ref="F71:F79" si="15">+D71+E71</x:f>
        <x:v>276000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4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/>
      <x:c r="E72" s="4">
        <x:f>+D72*0.1</x:f>
        <x:v>0</x:v>
      </x:c>
      <x:c r="F72" s="5">
        <x:f t="shared" si="15"/>
        <x:v>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4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5"/>
        <x:v>110000</x:v>
      </x:c>
      <x:c r="G73" s="6"/>
      <x:c r="H73" s="299"/>
      <x:c r="I73" s="3" t="s">
        <x:v>945</x:v>
      </x:c>
      <x:c r="J73" s="3" t="s">
        <x:v>962</x:v>
      </x:c>
      <x:c r="K73" s="4">
        <x:v>1686000</x:v>
      </x:c>
      <x:c r="L73" s="4">
        <x:f>+K73*0.1</x:f>
        <x:v>168600</x:v>
      </x:c>
      <x:c r="M73" s="5">
        <x:f t="shared" si="14"/>
        <x:v>1854600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255000</x:v>
      </x:c>
      <x:c r="E74" s="4">
        <x:f>D74*0.1</x:f>
        <x:v>25500</x:v>
      </x:c>
      <x:c r="F74" s="5">
        <x:f t="shared" si="15"/>
        <x:v>280500</x:v>
      </x:c>
      <x:c r="G74" s="6"/>
      <x:c r="H74" s="299"/>
      <x:c r="I74" s="3" t="s">
        <x:v>1038</x:v>
      </x:c>
      <x:c r="J74" s="3" t="s">
        <x:v>167</x:v>
      </x:c>
      <x:c r="K74" s="4">
        <x:v>94000</x:v>
      </x:c>
      <x:c r="L74" s="4">
        <x:f>+K74*0.1</x:f>
        <x:v>9400</x:v>
      </x:c>
      <x:c r="M74" s="5">
        <x:f t="shared" si="14"/>
        <x:v>103400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5"/>
        <x:v>0</x:v>
      </x:c>
      <x:c r="G75" s="6"/>
      <x:c r="H75" s="299"/>
      <x:c r="I75" s="3" t="s">
        <x:v>683</x:v>
      </x:c>
      <x:c r="J75" s="3" t="s">
        <x:v>1077</x:v>
      </x:c>
      <x:c r="K75" s="4">
        <x:v>91696</x:v>
      </x:c>
      <x:c r="L75" s="4">
        <x:v>9169.6000000000004</x:v>
      </x:c>
      <x:c r="M75" s="5">
        <x:f t="shared" si="14"/>
        <x:v>100865.60000000001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5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4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5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4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5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5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1081000</x:v>
      </x:c>
      <x:c r="E80" s="9">
        <x:f>SUM(E70:E79)</x:f>
        <x:v>80500</x:v>
      </x:c>
      <x:c r="F80" s="10">
        <x:f>SUM(F70:F79)</x:f>
        <x:v>1161500</x:v>
      </x:c>
      <x:c r="G80" s="11"/>
      <x:c r="H80" s="7"/>
      <x:c r="I80" s="8"/>
      <x:c r="J80" s="8"/>
      <x:c r="K80" s="9">
        <x:f>SUM(K70:K79)</x:f>
        <x:v>4657956</x:v>
      </x:c>
      <x:c r="L80" s="9">
        <x:f>SUM(L70:L79)</x:f>
        <x:v>191169.60000000001</x:v>
      </x:c>
      <x:c r="M80" s="10">
        <x:f>SUM(M70:M79)</x:f>
        <x:v>4849125.5999999996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12684950</x:v>
      </x:c>
      <x:c r="E81" s="14">
        <x:f>+E59+E64+E69+E80</x:f>
        <x:v>423895</x:v>
      </x:c>
      <x:c r="F81" s="15">
        <x:f>+F59+F64+F69+F80</x:f>
        <x:v>13108845</x:v>
      </x:c>
      <x:c r="G81" s="16"/>
      <x:c r="H81" s="12"/>
      <x:c r="I81" s="13"/>
      <x:c r="J81" s="13"/>
      <x:c r="K81" s="14">
        <x:f>+K59+K64+K69+K80</x:f>
        <x:v>92050507</x:v>
      </x:c>
      <x:c r="L81" s="14">
        <x:f>+L59+L64+L69+L80</x:f>
        <x:v>4372914.7000000002</x:v>
      </x:c>
      <x:c r="M81" s="15">
        <x:f>+M59+M64+M69+M80</x:f>
        <x:v>96423421.699999988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-1511162</x:v>
      </x:c>
      <x:c r="E82" s="25">
        <x:f>+E43-E81</x:f>
        <x:v>402317</x:v>
      </x:c>
      <x:c r="F82" s="26">
        <x:f>+F43-F81</x:f>
        <x:v>-1108845</x:v>
      </x:c>
      <x:c r="G82" s="27"/>
      <x:c r="H82" s="23"/>
      <x:c r="I82" s="24"/>
      <x:c r="J82" s="24"/>
      <x:c r="K82" s="25">
        <x:f>+K43-K81</x:f>
        <x:v>43449493</x:v>
      </x:c>
      <x:c r="L82" s="25">
        <x:f>+L43-L81</x:f>
        <x:v>-2842914.7000000002</x:v>
      </x:c>
      <x:c r="M82" s="26">
        <x:f>+M43-M81</x:f>
        <x:v>40606578.300000012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89" t="s">
        <x:v>144</x:v>
      </x:c>
      <x:c r="C84" s="89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89" t="s">
        <x:v>144</x:v>
      </x:c>
      <x:c r="J84" s="89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88" t="s">
        <x:v>151</x:v>
      </x:c>
      <x:c r="B85" s="38" t="s">
        <x:v>1679</x:v>
      </x:c>
      <x:c r="C85" s="38" t="s">
        <x:v>1030</x:v>
      </x:c>
      <x:c r="D85" s="39">
        <x:v>15831694</x:v>
      </x:c>
      <x:c r="E85" s="39">
        <x:v>168306</x:v>
      </x:c>
      <x:c r="F85" s="40">
        <x:f>+D85+E85</x:f>
        <x:v>16000000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13878508</x:v>
      </x:c>
      <x:c r="L85" s="39">
        <x:v>121492</x:v>
      </x:c>
      <x:c r="M85" s="40">
        <x:f>+K85+L85</x:f>
        <x:v>14000000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936</x:v>
      </x:c>
      <x:c r="D86" s="20">
        <x:v>1837800</x:v>
      </x:c>
      <x:c r="E86" s="20">
        <x:f>+D86*0.1</x:f>
        <x:v>183780</x:v>
      </x:c>
      <x:c r="F86" s="21">
        <x:f>+D86+E86</x:f>
        <x:v>2021580</x:v>
      </x:c>
      <x:c r="G86" s="22"/>
      <x:c r="H86" s="298" t="s">
        <x:v>148</x:v>
      </x:c>
      <x:c r="I86" s="19" t="s">
        <x:v>838</x:v>
      </x:c>
      <x:c r="J86" s="19" t="s">
        <x:v>370</x:v>
      </x:c>
      <x:c r="K86" s="20">
        <x:v>887000</x:v>
      </x:c>
      <x:c r="L86" s="20">
        <x:f>+K86*0.1</x:f>
        <x:v>88700</x:v>
      </x:c>
      <x:c r="M86" s="21">
        <x:f t="shared" ref="M86:M100" si="16">+K86+L86</x:f>
        <x:v>975700</x:v>
      </x:c>
      <x:c r="N86" s="22"/>
    </x:row>
    <x:row r="87" spans="1:14" ht="20.100000000000001" customHeight="1">
      <x:c r="A87" s="299"/>
      <x:c r="B87" s="3" t="s">
        <x:v>867</x:v>
      </x:c>
      <x:c r="C87" s="3" t="s">
        <x:v>391</x:v>
      </x:c>
      <x:c r="D87" s="4">
        <x:v>380000</x:v>
      </x:c>
      <x:c r="E87" s="4">
        <x:f>+D87*0.1</x:f>
        <x:v>38000</x:v>
      </x:c>
      <x:c r="F87" s="5">
        <x:f>+D87+E87</x:f>
        <x:v>418000</x:v>
      </x:c>
      <x:c r="G87" s="6"/>
      <x:c r="H87" s="299"/>
      <x:c r="I87" s="3" t="s">
        <x:v>867</x:v>
      </x:c>
      <x:c r="J87" s="3" t="s">
        <x:v>351</x:v>
      </x:c>
      <x:c r="K87" s="4">
        <x:v>2074800</x:v>
      </x:c>
      <x:c r="L87" s="4">
        <x:f>K87*0.1</x:f>
        <x:v>207480</x:v>
      </x:c>
      <x:c r="M87" s="5">
        <x:f t="shared" si="16"/>
        <x:v>2282280</x:v>
      </x:c>
      <x:c r="N87" s="6"/>
    </x:row>
    <x:row r="88" spans="1:14" ht="20.100000000000001" customHeight="1">
      <x:c r="A88" s="299"/>
      <x:c r="B88" s="3" t="s">
        <x:v>907</x:v>
      </x:c>
      <x:c r="C88" s="3"/>
      <x:c r="D88" s="4"/>
      <x:c r="E88" s="4">
        <x:f>+D88*0.1</x:f>
        <x:v>0</x:v>
      </x:c>
      <x:c r="F88" s="5">
        <x:f>+D88+E88</x:f>
        <x:v>0</x:v>
      </x:c>
      <x:c r="G88" s="6"/>
      <x:c r="H88" s="299"/>
      <x:c r="I88" s="3" t="s">
        <x:v>907</x:v>
      </x:c>
      <x:c r="J88" s="3"/>
      <x:c r="K88" s="4"/>
      <x:c r="L88" s="4">
        <x:f t="shared" ref="L88:L100" si="17">+K88*0.1</x:f>
        <x:v>0</x:v>
      </x:c>
      <x:c r="M88" s="5">
        <x:f t="shared" si="16"/>
        <x:v>0</x:v>
      </x:c>
      <x:c r="N88" s="6"/>
    </x:row>
    <x:row r="89" spans="1:14" ht="20.100000000000001" customHeight="1">
      <x:c r="A89" s="299"/>
      <x:c r="B89" s="3" t="s">
        <x:v>840</x:v>
      </x:c>
      <x:c r="C89" s="3"/>
      <x:c r="D89" s="4"/>
      <x:c r="E89" s="4">
        <x:f>+INT(D89*0.1)</x:f>
        <x:v>0</x:v>
      </x:c>
      <x:c r="F89" s="5">
        <x:f t="shared" ref="F89:F99" si="18">+D89+E89</x:f>
        <x:v>0</x:v>
      </x:c>
      <x:c r="G89" s="6"/>
      <x:c r="H89" s="299"/>
      <x:c r="I89" s="3" t="s">
        <x:v>840</x:v>
      </x:c>
      <x:c r="J89" s="3"/>
      <x:c r="K89" s="4"/>
      <x:c r="L89" s="4">
        <x:f t="shared" si="17"/>
        <x:v>0</x:v>
      </x:c>
      <x:c r="M89" s="5">
        <x:f t="shared" si="16"/>
        <x:v>0</x:v>
      </x:c>
      <x:c r="N89" s="6"/>
    </x:row>
    <x:row r="90" spans="1:14" ht="20.100000000000001" customHeight="1">
      <x:c r="A90" s="299"/>
      <x:c r="B90" s="3" t="s">
        <x:v>976</x:v>
      </x:c>
      <x:c r="C90" s="3" t="s">
        <x:v>337</x:v>
      </x:c>
      <x:c r="D90" s="4">
        <x:v>510000</x:v>
      </x:c>
      <x:c r="E90" s="4">
        <x:f t="shared" ref="E90:E99" si="19">+INT(D90*0.1)</x:f>
        <x:v>51000</x:v>
      </x:c>
      <x:c r="F90" s="5">
        <x:f t="shared" si="18"/>
        <x:v>561000</x:v>
      </x:c>
      <x:c r="G90" s="6"/>
      <x:c r="H90" s="299"/>
      <x:c r="I90" s="3" t="s">
        <x:v>976</x:v>
      </x:c>
      <x:c r="J90" s="3"/>
      <x:c r="K90" s="4"/>
      <x:c r="L90" s="4">
        <x:f>+K90*0.1</x:f>
        <x:v>0</x:v>
      </x:c>
      <x:c r="M90" s="5">
        <x:f t="shared" si="16"/>
        <x:v>0</x:v>
      </x:c>
      <x:c r="N90" s="6"/>
    </x:row>
    <x:row r="91" spans="1:14" ht="20.100000000000001" customHeight="1">
      <x:c r="A91" s="299"/>
      <x:c r="B91" s="3" t="s">
        <x:v>967</x:v>
      </x:c>
      <x:c r="C91" s="3" t="s">
        <x:v>1098</x:v>
      </x:c>
      <x:c r="D91" s="4">
        <x:v>132000</x:v>
      </x:c>
      <x:c r="E91" s="4">
        <x:f t="shared" si="19"/>
        <x:v>13200</x:v>
      </x:c>
      <x:c r="F91" s="5">
        <x:f t="shared" si="18"/>
        <x:v>145200</x:v>
      </x:c>
      <x:c r="G91" s="6"/>
      <x:c r="H91" s="299"/>
      <x:c r="I91" s="3" t="s">
        <x:v>846</x:v>
      </x:c>
      <x:c r="J91" s="3" t="s">
        <x:v>621</x:v>
      </x:c>
      <x:c r="K91" s="4">
        <x:v>425100</x:v>
      </x:c>
      <x:c r="L91" s="4">
        <x:f>+K91*0.1-1</x:f>
        <x:v>42509</x:v>
      </x:c>
      <x:c r="M91" s="5">
        <x:f t="shared" si="16"/>
        <x:v>467609</x:v>
      </x:c>
      <x:c r="N91" s="6"/>
    </x:row>
    <x:row r="92" spans="1:14" ht="20.100000000000001" customHeight="1">
      <x:c r="A92" s="299"/>
      <x:c r="B92" s="3" t="s">
        <x:v>846</x:v>
      </x:c>
      <x:c r="C92" s="3" t="s">
        <x:v>671</x:v>
      </x:c>
      <x:c r="D92" s="4">
        <x:v>486400</x:v>
      </x:c>
      <x:c r="E92" s="4">
        <x:f t="shared" si="19"/>
        <x:v>48640</x:v>
      </x:c>
      <x:c r="F92" s="5">
        <x:f t="shared" si="18"/>
        <x:v>535040</x:v>
      </x:c>
      <x:c r="G92" s="6"/>
      <x:c r="H92" s="299"/>
      <x:c r="I92" s="3" t="s">
        <x:v>938</x:v>
      </x:c>
      <x:c r="J92" s="3"/>
      <x:c r="K92" s="4"/>
      <x:c r="L92" s="4">
        <x:f t="shared" si="17"/>
        <x:v>0</x:v>
      </x:c>
      <x:c r="M92" s="5">
        <x:f t="shared" si="16"/>
        <x:v>0</x:v>
      </x:c>
      <x:c r="N92" s="6"/>
    </x:row>
    <x:row r="93" spans="1:14" ht="20.100000000000001" customHeight="1">
      <x:c r="A93" s="299"/>
      <x:c r="B93" s="3" t="s">
        <x:v>938</x:v>
      </x:c>
      <x:c r="C93" s="3"/>
      <x:c r="D93" s="4"/>
      <x:c r="E93" s="4">
        <x:f t="shared" si="19"/>
        <x:v>0</x:v>
      </x:c>
      <x:c r="F93" s="5">
        <x:f t="shared" si="18"/>
        <x:v>0</x:v>
      </x:c>
      <x:c r="G93" s="6"/>
      <x:c r="H93" s="299"/>
      <x:c r="I93" s="3"/>
      <x:c r="J93" s="3"/>
      <x:c r="K93" s="4"/>
      <x:c r="L93" s="4">
        <x:f t="shared" si="17"/>
        <x:v>0</x:v>
      </x:c>
      <x:c r="M93" s="5">
        <x:f t="shared" si="16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9"/>
        <x:v>0</x:v>
      </x:c>
      <x:c r="F94" s="5">
        <x:f t="shared" si="18"/>
        <x:v>0</x:v>
      </x:c>
      <x:c r="G94" s="6"/>
      <x:c r="H94" s="299"/>
      <x:c r="I94" s="3"/>
      <x:c r="J94" s="3"/>
      <x:c r="K94" s="4"/>
      <x:c r="L94" s="4">
        <x:f t="shared" si="17"/>
        <x:v>0</x:v>
      </x:c>
      <x:c r="M94" s="5">
        <x:f t="shared" si="16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9"/>
        <x:v>0</x:v>
      </x:c>
      <x:c r="F95" s="5">
        <x:f t="shared" si="18"/>
        <x:v>0</x:v>
      </x:c>
      <x:c r="G95" s="6"/>
      <x:c r="H95" s="299"/>
      <x:c r="I95" s="3"/>
      <x:c r="J95" s="3"/>
      <x:c r="K95" s="4"/>
      <x:c r="L95" s="4">
        <x:f t="shared" si="17"/>
        <x:v>0</x:v>
      </x:c>
      <x:c r="M95" s="5">
        <x:f t="shared" si="16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9"/>
        <x:v>0</x:v>
      </x:c>
      <x:c r="F96" s="5">
        <x:f t="shared" si="18"/>
        <x:v>0</x:v>
      </x:c>
      <x:c r="G96" s="6"/>
      <x:c r="H96" s="299"/>
      <x:c r="I96" s="3"/>
      <x:c r="J96" s="3"/>
      <x:c r="K96" s="4"/>
      <x:c r="L96" s="4">
        <x:f t="shared" si="17"/>
        <x:v>0</x:v>
      </x:c>
      <x:c r="M96" s="5">
        <x:f t="shared" si="16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9"/>
        <x:v>0</x:v>
      </x:c>
      <x:c r="F97" s="5">
        <x:f t="shared" si="18"/>
        <x:v>0</x:v>
      </x:c>
      <x:c r="G97" s="6"/>
      <x:c r="H97" s="299"/>
      <x:c r="I97" s="3"/>
      <x:c r="J97" s="3"/>
      <x:c r="K97" s="4"/>
      <x:c r="L97" s="4">
        <x:f t="shared" si="17"/>
        <x:v>0</x:v>
      </x:c>
      <x:c r="M97" s="5">
        <x:f t="shared" si="16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9"/>
        <x:v>0</x:v>
      </x:c>
      <x:c r="F98" s="5">
        <x:f t="shared" si="18"/>
        <x:v>0</x:v>
      </x:c>
      <x:c r="G98" s="6"/>
      <x:c r="H98" s="299"/>
      <x:c r="I98" s="3"/>
      <x:c r="J98" s="3"/>
      <x:c r="K98" s="4"/>
      <x:c r="L98" s="4">
        <x:f t="shared" si="17"/>
        <x:v>0</x:v>
      </x:c>
      <x:c r="M98" s="5">
        <x:f t="shared" si="16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9"/>
        <x:v>0</x:v>
      </x:c>
      <x:c r="F99" s="5">
        <x:f t="shared" si="18"/>
        <x:v>0</x:v>
      </x:c>
      <x:c r="G99" s="6"/>
      <x:c r="H99" s="299"/>
      <x:c r="I99" s="3"/>
      <x:c r="J99" s="3"/>
      <x:c r="K99" s="4"/>
      <x:c r="L99" s="4">
        <x:f t="shared" si="17"/>
        <x:v>0</x:v>
      </x:c>
      <x:c r="M99" s="5">
        <x:f t="shared" si="16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7"/>
        <x:v>0</x:v>
      </x:c>
      <x:c r="M100" s="5">
        <x:f t="shared" si="16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3346200</x:v>
      </x:c>
      <x:c r="E101" s="9">
        <x:f>SUM(E86:E100)</x:f>
        <x:v>334620</x:v>
      </x:c>
      <x:c r="F101" s="10">
        <x:f>SUM(F86:F100)</x:f>
        <x:v>3680820</x:v>
      </x:c>
      <x:c r="G101" s="11"/>
      <x:c r="H101" s="7"/>
      <x:c r="I101" s="8"/>
      <x:c r="J101" s="8"/>
      <x:c r="K101" s="9">
        <x:f>SUM(K86:K100)</x:f>
        <x:v>3386900</x:v>
      </x:c>
      <x:c r="L101" s="9">
        <x:f>SUM(L86:L100)</x:f>
        <x:v>338689</x:v>
      </x:c>
      <x:c r="M101" s="10">
        <x:f>SUM(M86:M100)</x:f>
        <x:v>3725589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/>
      <x:c r="D102" s="44">
        <x:v>14680000</x:v>
      </x:c>
      <x:c r="E102" s="44"/>
      <x:c r="F102" s="45">
        <x:f>+D102+E102</x:f>
        <x:v>14680000</x:v>
      </x:c>
      <x:c r="G102" s="37"/>
      <x:c r="H102" s="301" t="s">
        <x:v>153</x:v>
      </x:c>
      <x:c r="I102" s="3" t="s">
        <x:v>1677</x:v>
      </x:c>
      <x:c r="J102" s="3"/>
      <x:c r="K102" s="4">
        <x:v>14570000</x:v>
      </x:c>
      <x:c r="L102" s="4"/>
      <x:c r="M102" s="5">
        <x:f>+K102+L102</x:f>
        <x:v>14570000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/>
      <x:c r="J103" s="3"/>
      <x:c r="K103" s="4"/>
      <x:c r="L103" s="4">
        <x:f>+K103*0.1</x:f>
        <x:v>0</x:v>
      </x:c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14680000</x:v>
      </x:c>
      <x:c r="E106" s="9">
        <x:f>SUM(E102:E105)</x:f>
        <x:v>0</x:v>
      </x:c>
      <x:c r="F106" s="10">
        <x:f>SUM(F102:F105)</x:f>
        <x:v>14680000</x:v>
      </x:c>
      <x:c r="G106" s="11"/>
      <x:c r="H106" s="7"/>
      <x:c r="I106" s="8"/>
      <x:c r="J106" s="8"/>
      <x:c r="K106" s="9">
        <x:f>SUM(K102:K105)</x:f>
        <x:v>14570000</x:v>
      </x:c>
      <x:c r="L106" s="9">
        <x:f>SUM(L102:L105)</x:f>
        <x:v>0</x:v>
      </x:c>
      <x:c r="M106" s="10">
        <x:f>SUM(M102:M105)</x:f>
        <x:v>14570000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 t="s">
        <x:v>1089</x:v>
      </x:c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599820</x:v>
      </x:c>
      <x:c r="L112" s="4"/>
      <x:c r="M112" s="5">
        <x:f t="shared" ref="M112:M119" si="20">+K112+L112</x:f>
        <x:v>599820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1735</x:v>
      </x:c>
      <x:c r="K113" s="4">
        <x:v>100000</x:v>
      </x:c>
      <x:c r="L113" s="4">
        <x:f>+K113*0.1</x:f>
        <x:v>10000</x:v>
      </x:c>
      <x:c r="M113" s="5">
        <x:f t="shared" si="20"/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71000</x:v>
      </x:c>
      <x:c r="E114" s="4">
        <x:f>+D114*0.1</x:f>
        <x:v>7100</x:v>
      </x:c>
      <x:c r="F114" s="5">
        <x:f>+D114+E114</x:f>
        <x:v>78100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20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414000</x:v>
      </x:c>
      <x:c r="E115" s="4">
        <x:f>+D115*0.1</x:f>
        <x:v>41400</x:v>
      </x:c>
      <x:c r="F115" s="5">
        <x:f t="shared" ref="F115:F121" si="21">+D115+E115</x:f>
        <x:v>455400</x:v>
      </x:c>
      <x:c r="G115" s="6"/>
      <x:c r="H115" s="299"/>
      <x:c r="I115" s="3" t="s">
        <x:v>633</x:v>
      </x:c>
      <x:c r="J115" s="3" t="s">
        <x:v>962</x:v>
      </x:c>
      <x:c r="K115" s="4">
        <x:v>570000</x:v>
      </x:c>
      <x:c r="L115" s="4">
        <x:f>+K115*0.1</x:f>
        <x:v>57000</x:v>
      </x:c>
      <x:c r="M115" s="5">
        <x:f t="shared" si="20"/>
        <x:v>627000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1105120</x:v>
      </x:c>
      <x:c r="E116" s="4">
        <x:v>10000</x:v>
      </x:c>
      <x:c r="F116" s="5">
        <x:f t="shared" si="21"/>
        <x:v>1115120</x:v>
      </x:c>
      <x:c r="G116" s="6"/>
      <x:c r="H116" s="299"/>
      <x:c r="I116" s="3" t="s">
        <x:v>1049</x:v>
      </x:c>
      <x:c r="J116" s="3" t="s">
        <x:v>167</x:v>
      </x:c>
      <x:c r="K116" s="4">
        <x:v>95000</x:v>
      </x:c>
      <x:c r="L116" s="4">
        <x:f>+K116*0.1</x:f>
        <x:v>9500</x:v>
      </x:c>
      <x:c r="M116" s="5">
        <x:f t="shared" si="20"/>
        <x:v>104500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21"/>
        <x:v>110000</x:v>
      </x:c>
      <x:c r="G117" s="6"/>
      <x:c r="H117" s="299"/>
      <x:c r="I117" s="3"/>
      <x:c r="J117" s="3"/>
      <x:c r="K117" s="4"/>
      <x:c r="L117" s="4"/>
      <x:c r="M117" s="5">
        <x:f t="shared" si="20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 t="shared" si="21"/>
        <x:v>0</x:v>
      </x:c>
      <x:c r="G118" s="6"/>
      <x:c r="H118" s="299"/>
      <x:c r="I118" s="3"/>
      <x:c r="J118" s="3"/>
      <x:c r="K118" s="4"/>
      <x:c r="L118" s="4"/>
      <x:c r="M118" s="5">
        <x:f t="shared" si="20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21"/>
        <x:v>0</x:v>
      </x:c>
      <x:c r="G119" s="6"/>
      <x:c r="H119" s="299"/>
      <x:c r="I119" s="3"/>
      <x:c r="J119" s="3"/>
      <x:c r="K119" s="4"/>
      <x:c r="L119" s="4"/>
      <x:c r="M119" s="5">
        <x:f t="shared" si="20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21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21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2238120</x:v>
      </x:c>
      <x:c r="E122" s="9">
        <x:f>SUM(E112:E121)</x:f>
        <x:v>118500</x:v>
      </x:c>
      <x:c r="F122" s="10">
        <x:f>SUM(F112:F121)</x:f>
        <x:v>2356620</x:v>
      </x:c>
      <x:c r="G122" s="11"/>
      <x:c r="H122" s="7"/>
      <x:c r="I122" s="8"/>
      <x:c r="J122" s="8"/>
      <x:c r="K122" s="9">
        <x:f>SUM(K112:K121)</x:f>
        <x:v>1444820</x:v>
      </x:c>
      <x:c r="L122" s="9">
        <x:f>SUM(L112:L121)</x:f>
        <x:v>84500</x:v>
      </x:c>
      <x:c r="M122" s="10">
        <x:f>SUM(M112:M121)</x:f>
        <x:v>1529320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20264320</x:v>
      </x:c>
      <x:c r="E123" s="14">
        <x:f>+E101+E106+E111+E122</x:f>
        <x:v>453120</x:v>
      </x:c>
      <x:c r="F123" s="15">
        <x:f>+F101+F106+F111+F122</x:f>
        <x:v>20717440</x:v>
      </x:c>
      <x:c r="G123" s="16"/>
      <x:c r="H123" s="12"/>
      <x:c r="I123" s="13"/>
      <x:c r="J123" s="13"/>
      <x:c r="K123" s="14">
        <x:f>+K101+K106+K111+K122</x:f>
        <x:v>19401720</x:v>
      </x:c>
      <x:c r="L123" s="14">
        <x:f>+L101+L106+L111+L122</x:f>
        <x:v>423189</x:v>
      </x:c>
      <x:c r="M123" s="15">
        <x:f>+M101+M106+M111+M122</x:f>
        <x:v>19824909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-4432626</x:v>
      </x:c>
      <x:c r="E124" s="25">
        <x:f>+E85-E123</x:f>
        <x:v>-284814</x:v>
      </x:c>
      <x:c r="F124" s="26">
        <x:f>+F85-F123</x:f>
        <x:v>-4717440</x:v>
      </x:c>
      <x:c r="G124" s="27"/>
      <x:c r="H124" s="23"/>
      <x:c r="I124" s="24"/>
      <x:c r="J124" s="24"/>
      <x:c r="K124" s="25">
        <x:f>+K85-K123</x:f>
        <x:v>-5523212</x:v>
      </x:c>
      <x:c r="L124" s="25">
        <x:f>+L85-L123</x:f>
        <x:v>-301697</x:v>
      </x:c>
      <x:c r="M124" s="26">
        <x:f>+M85-M123</x:f>
        <x:v>-5824909</x:v>
      </x:c>
      <x:c r="N124" s="27"/>
    </x:row>
    <x:row r="125" spans="1:14" ht="20.10000000000000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customHeight="1">
      <x:c r="A126" s="29" t="s">
        <x:v>147</x:v>
      </x:c>
      <x:c r="B126" s="89" t="s">
        <x:v>144</x:v>
      </x:c>
      <x:c r="C126" s="89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89" t="s">
        <x:v>144</x:v>
      </x:c>
      <x:c r="J126" s="89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customHeight="1">
      <x:c r="A127" s="88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customHeight="1">
      <x:c r="A128" s="298" t="s">
        <x:v>148</x:v>
      </x:c>
      <x:c r="B128" s="19" t="s">
        <x:v>1070</x:v>
      </x:c>
      <x:c r="C128" s="19" t="s">
        <x:v>1082</x:v>
      </x:c>
      <x:c r="D128" s="20">
        <x:v>2641900</x:v>
      </x:c>
      <x:c r="E128" s="20">
        <x:f>+D128*0.1</x:f>
        <x:v>264190</x:v>
      </x:c>
      <x:c r="F128" s="21">
        <x:f>+D128+E128</x:f>
        <x:v>2906090</x:v>
      </x:c>
      <x:c r="G128" s="22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2">+K128+L128</x:f>
        <x:v>0</x:v>
      </x:c>
      <x:c r="N128" s="22"/>
    </x:row>
    <x:row r="129" spans="1:14" ht="20.100000000000001" customHeight="1">
      <x:c r="A129" s="299"/>
      <x:c r="B129" s="3" t="s">
        <x:v>907</x:v>
      </x:c>
      <x:c r="C129" s="3" t="s">
        <x:v>1087</x:v>
      </x:c>
      <x:c r="D129" s="4">
        <x:v>3080000</x:v>
      </x:c>
      <x:c r="E129" s="4">
        <x:f>+D129*0.1</x:f>
        <x:v>308000</x:v>
      </x:c>
      <x:c r="F129" s="5">
        <x:f>+D129+E129</x:f>
        <x:v>3388000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2"/>
        <x:v>0</x:v>
      </x:c>
      <x:c r="N129" s="6"/>
    </x:row>
    <x:row r="130" spans="1:14" ht="20.100000000000001" customHeight="1">
      <x:c r="A130" s="299"/>
      <x:c r="B130" s="3" t="s">
        <x:v>21</x:v>
      </x:c>
      <x:c r="C130" s="3" t="s">
        <x:v>94</x:v>
      </x:c>
      <x:c r="D130" s="4">
        <x:v>1945705</x:v>
      </x:c>
      <x:c r="E130" s="4">
        <x:f>+D130*0.1</x:f>
        <x:v>194570.5</x:v>
      </x:c>
      <x:c r="F130" s="5">
        <x:f>+D130+E130</x:f>
        <x:v>2140275.5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2"/>
        <x:v>0</x:v>
      </x:c>
      <x:c r="N130" s="6"/>
    </x:row>
    <x:row r="131" spans="1:14" ht="20.100000000000001" customHeight="1">
      <x:c r="A131" s="299"/>
      <x:c r="B131" s="3" t="s">
        <x:v>846</x:v>
      </x:c>
      <x:c r="C131" s="3"/>
      <x:c r="D131" s="4"/>
      <x:c r="E131" s="4">
        <x:f>+INT(D131*0.1)</x:f>
        <x:v>0</x:v>
      </x:c>
      <x:c r="F131" s="5">
        <x:f t="shared" ref="F131:F141" si="23">+D131+E131</x:f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2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 t="shared" ref="E132:E141" si="24">+INT(D132*0.1)</x:f>
        <x:v>0</x:v>
      </x:c>
      <x:c r="F132" s="5">
        <x:f t="shared" si="23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2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 t="shared" si="24"/>
        <x:v>0</x:v>
      </x:c>
      <x:c r="F133" s="5">
        <x:f t="shared" si="23"/>
        <x:v>0</x:v>
      </x:c>
      <x:c r="G133" s="6"/>
      <x:c r="H133" s="299"/>
      <x:c r="I133" s="3"/>
      <x:c r="J133" s="3"/>
      <x:c r="K133" s="4"/>
      <x:c r="L133" s="4">
        <x:f t="shared" ref="L133:L142" si="25">+K133*0.1</x:f>
        <x:v>0</x:v>
      </x:c>
      <x:c r="M133" s="5">
        <x:f t="shared" si="22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 t="shared" si="24"/>
        <x:v>0</x:v>
      </x:c>
      <x:c r="F134" s="5">
        <x:f t="shared" si="23"/>
        <x:v>0</x:v>
      </x:c>
      <x:c r="G134" s="6"/>
      <x:c r="H134" s="299"/>
      <x:c r="I134" s="3"/>
      <x:c r="J134" s="3"/>
      <x:c r="K134" s="4"/>
      <x:c r="L134" s="4">
        <x:f t="shared" si="25"/>
        <x:v>0</x:v>
      </x:c>
      <x:c r="M134" s="5">
        <x:f t="shared" si="22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si="24"/>
        <x:v>0</x:v>
      </x:c>
      <x:c r="F135" s="5">
        <x:f t="shared" si="23"/>
        <x:v>0</x:v>
      </x:c>
      <x:c r="G135" s="6"/>
      <x:c r="H135" s="299"/>
      <x:c r="I135" s="3"/>
      <x:c r="J135" s="3"/>
      <x:c r="K135" s="4"/>
      <x:c r="L135" s="4">
        <x:f t="shared" si="25"/>
        <x:v>0</x:v>
      </x:c>
      <x:c r="M135" s="5">
        <x:f t="shared" si="22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4"/>
        <x:v>0</x:v>
      </x:c>
      <x:c r="F136" s="5">
        <x:f t="shared" si="23"/>
        <x:v>0</x:v>
      </x:c>
      <x:c r="G136" s="6"/>
      <x:c r="H136" s="299"/>
      <x:c r="I136" s="3"/>
      <x:c r="J136" s="3"/>
      <x:c r="K136" s="4"/>
      <x:c r="L136" s="4">
        <x:f t="shared" si="25"/>
        <x:v>0</x:v>
      </x:c>
      <x:c r="M136" s="5">
        <x:f t="shared" si="22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4"/>
        <x:v>0</x:v>
      </x:c>
      <x:c r="F137" s="5">
        <x:f t="shared" si="23"/>
        <x:v>0</x:v>
      </x:c>
      <x:c r="G137" s="6"/>
      <x:c r="H137" s="299"/>
      <x:c r="I137" s="3"/>
      <x:c r="J137" s="3"/>
      <x:c r="K137" s="4"/>
      <x:c r="L137" s="4">
        <x:f t="shared" si="25"/>
        <x:v>0</x:v>
      </x:c>
      <x:c r="M137" s="5">
        <x:f t="shared" si="22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>
        <x:f t="shared" si="24"/>
        <x:v>0</x:v>
      </x:c>
      <x:c r="F138" s="5">
        <x:f t="shared" si="23"/>
        <x:v>0</x:v>
      </x:c>
      <x:c r="G138" s="6"/>
      <x:c r="H138" s="299"/>
      <x:c r="I138" s="3"/>
      <x:c r="J138" s="3"/>
      <x:c r="K138" s="4"/>
      <x:c r="L138" s="4">
        <x:f t="shared" si="25"/>
        <x:v>0</x:v>
      </x:c>
      <x:c r="M138" s="5">
        <x:f t="shared" si="22"/>
        <x:v>0</x:v>
      </x:c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4"/>
        <x:v>0</x:v>
      </x:c>
      <x:c r="F139" s="5">
        <x:f t="shared" si="23"/>
        <x:v>0</x:v>
      </x:c>
      <x:c r="G139" s="6"/>
      <x:c r="H139" s="299"/>
      <x:c r="I139" s="3"/>
      <x:c r="J139" s="3"/>
      <x:c r="K139" s="4"/>
      <x:c r="L139" s="4">
        <x:f t="shared" si="25"/>
        <x:v>0</x:v>
      </x:c>
      <x:c r="M139" s="5">
        <x:f t="shared" si="22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4"/>
        <x:v>0</x:v>
      </x:c>
      <x:c r="F140" s="5">
        <x:f t="shared" si="23"/>
        <x:v>0</x:v>
      </x:c>
      <x:c r="G140" s="6"/>
      <x:c r="H140" s="299"/>
      <x:c r="I140" s="3"/>
      <x:c r="J140" s="3"/>
      <x:c r="K140" s="4"/>
      <x:c r="L140" s="4">
        <x:f t="shared" si="25"/>
        <x:v>0</x:v>
      </x:c>
      <x:c r="M140" s="5">
        <x:f t="shared" si="22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4"/>
        <x:v>0</x:v>
      </x:c>
      <x:c r="F141" s="5">
        <x:f t="shared" si="23"/>
        <x:v>0</x:v>
      </x:c>
      <x:c r="G141" s="6"/>
      <x:c r="H141" s="299"/>
      <x:c r="I141" s="3"/>
      <x:c r="J141" s="3"/>
      <x:c r="K141" s="4"/>
      <x:c r="L141" s="4">
        <x:f t="shared" si="25"/>
        <x:v>0</x:v>
      </x:c>
      <x:c r="M141" s="5">
        <x:f t="shared" si="22"/>
        <x:v>0</x:v>
      </x:c>
      <x:c r="N141" s="6"/>
    </x:row>
    <x:row r="142" spans="1:14" ht="20.10000000000000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5"/>
        <x:v>0</x:v>
      </x:c>
      <x:c r="M142" s="5">
        <x:f t="shared" si="22"/>
        <x:v>0</x:v>
      </x:c>
      <x:c r="N142" s="6"/>
    </x:row>
    <x:row r="143" spans="1:14" ht="20.100000000000001" customHeight="1">
      <x:c r="A143" s="7" t="s">
        <x:v>155</x:v>
      </x:c>
      <x:c r="B143" s="8"/>
      <x:c r="C143" s="8"/>
      <x:c r="D143" s="9">
        <x:f>SUM(D128:D142)</x:f>
        <x:v>7667605</x:v>
      </x:c>
      <x:c r="E143" s="9">
        <x:f>SUM(E128:E142)</x:f>
        <x:v>766760.5</x:v>
      </x:c>
      <x:c r="F143" s="10">
        <x:f>SUM(F128:F142)</x:f>
        <x:v>8434365.5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customHeight="1">
      <x:c r="A149" s="301" t="s">
        <x:v>187</x:v>
      </x:c>
      <x:c r="B149" s="3" t="s">
        <x:v>1092</x:v>
      </x:c>
      <x:c r="C149" s="3" t="s">
        <x:v>1081</x:v>
      </x:c>
      <x:c r="D149" s="4">
        <x:v>350000</x:v>
      </x:c>
      <x:c r="E149" s="4">
        <x:f>+D149*0.1</x:f>
        <x:v>35000</x:v>
      </x:c>
      <x:c r="F149" s="5">
        <x:f>+D149+E149</x:f>
        <x:v>385000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7" t="s">
        <x:v>155</x:v>
      </x:c>
      <x:c r="B153" s="8"/>
      <x:c r="C153" s="8"/>
      <x:c r="D153" s="9">
        <x:f>SUM(D149:D152)</x:f>
        <x:v>350000</x:v>
      </x:c>
      <x:c r="E153" s="9">
        <x:f>SUM(E149:E152)</x:f>
        <x:v>35000</x:v>
      </x:c>
      <x:c r="F153" s="10">
        <x:f>SUM(F149:F152)</x:f>
        <x:v>385000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customHeight="1">
      <x:c r="A154" s="301" t="s">
        <x:v>149</x:v>
      </x:c>
      <x:c r="B154" s="3"/>
      <x:c r="C154" s="3"/>
      <x:c r="D154" s="4"/>
      <x:c r="E154" s="4">
        <x:f>+D154*0.1</x:f>
        <x:v>0</x:v>
      </x:c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6">+K154+L154</x:f>
        <x:v>0</x:v>
      </x:c>
      <x:c r="N154" s="6"/>
    </x:row>
    <x:row r="155" spans="1:14" ht="20.10000000000000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6"/>
        <x:v>0</x:v>
      </x:c>
      <x:c r="N155" s="6"/>
    </x:row>
    <x:row r="156" spans="1:14" ht="20.10000000000000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6"/>
        <x:v>0</x:v>
      </x:c>
      <x:c r="N156" s="6"/>
    </x:row>
    <x:row r="157" spans="1:14" ht="20.10000000000000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7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6"/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 t="shared" si="27"/>
        <x:v>0</x:v>
      </x:c>
      <x:c r="G158" s="6"/>
      <x:c r="H158" s="299"/>
      <x:c r="I158" s="3"/>
      <x:c r="J158" s="3"/>
      <x:c r="K158" s="4"/>
      <x:c r="L158" s="4">
        <x:f t="shared" ref="L158:L163" si="28">+K158*0.1</x:f>
        <x:v>0</x:v>
      </x:c>
      <x:c r="M158" s="5">
        <x:f t="shared" si="26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7"/>
        <x:v>0</x:v>
      </x:c>
      <x:c r="G159" s="6"/>
      <x:c r="H159" s="299"/>
      <x:c r="I159" s="3"/>
      <x:c r="J159" s="3"/>
      <x:c r="K159" s="4"/>
      <x:c r="L159" s="4">
        <x:f t="shared" si="28"/>
        <x:v>0</x:v>
      </x:c>
      <x:c r="M159" s="5">
        <x:f t="shared" si="26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7"/>
        <x:v>0</x:v>
      </x:c>
      <x:c r="G160" s="6"/>
      <x:c r="H160" s="299"/>
      <x:c r="I160" s="3"/>
      <x:c r="J160" s="3"/>
      <x:c r="K160" s="4"/>
      <x:c r="L160" s="4">
        <x:f t="shared" si="28"/>
        <x:v>0</x:v>
      </x:c>
      <x:c r="M160" s="5">
        <x:f t="shared" si="26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7"/>
        <x:v>0</x:v>
      </x:c>
      <x:c r="G161" s="6"/>
      <x:c r="H161" s="299"/>
      <x:c r="I161" s="3"/>
      <x:c r="J161" s="3"/>
      <x:c r="K161" s="4"/>
      <x:c r="L161" s="4">
        <x:f t="shared" si="28"/>
        <x:v>0</x:v>
      </x:c>
      <x:c r="M161" s="5">
        <x:f t="shared" si="26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7"/>
        <x:v>0</x:v>
      </x:c>
      <x:c r="G162" s="6"/>
      <x:c r="H162" s="299"/>
      <x:c r="I162" s="3"/>
      <x:c r="J162" s="3"/>
      <x:c r="K162" s="4"/>
      <x:c r="L162" s="4">
        <x:f t="shared" si="28"/>
        <x:v>0</x:v>
      </x:c>
      <x:c r="M162" s="5"/>
      <x:c r="N162" s="6"/>
    </x:row>
    <x:row r="163" spans="1:14" ht="20.100000000000001" customHeight="1">
      <x:c r="A163" s="300"/>
      <x:c r="B163" s="3"/>
      <x:c r="C163" s="3"/>
      <x:c r="D163" s="4"/>
      <x:c r="E163" s="4"/>
      <x:c r="F163" s="5">
        <x:f t="shared" si="27"/>
        <x:v>0</x:v>
      </x:c>
      <x:c r="G163" s="6"/>
      <x:c r="H163" s="300"/>
      <x:c r="I163" s="3"/>
      <x:c r="J163" s="3"/>
      <x:c r="K163" s="4"/>
      <x:c r="L163" s="4">
        <x:f t="shared" si="28"/>
        <x:v>0</x:v>
      </x:c>
      <x:c r="M163" s="5">
        <x:f>+K163+L163</x:f>
        <x:v>0</x:v>
      </x:c>
      <x:c r="N163" s="6"/>
    </x:row>
    <x:row r="164" spans="1:14" ht="20.10000000000000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customHeight="1">
      <x:c r="A165" s="12" t="s">
        <x:v>1690</x:v>
      </x:c>
      <x:c r="B165" s="13"/>
      <x:c r="C165" s="13"/>
      <x:c r="D165" s="14">
        <x:f>+D143+D148+D153+D164</x:f>
        <x:v>8017605</x:v>
      </x:c>
      <x:c r="E165" s="14">
        <x:f>+E143+E148+E153+E164</x:f>
        <x:v>801760.5</x:v>
      </x:c>
      <x:c r="F165" s="15">
        <x:f>+F143+F148+F153+F164</x:f>
        <x:v>8819365.5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customHeight="1">
      <x:c r="A166" s="23" t="s">
        <x:v>35</x:v>
      </x:c>
      <x:c r="B166" s="24"/>
      <x:c r="C166" s="24"/>
      <x:c r="D166" s="25">
        <x:f>+D127-D165</x:f>
        <x:v>-8017605</x:v>
      </x:c>
      <x:c r="E166" s="25">
        <x:f>+E127-E165</x:f>
        <x:v>-801760.5</x:v>
      </x:c>
      <x:c r="F166" s="26">
        <x:f>+F127-F165</x:f>
        <x:v>-8819365.5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+D15+D59+D101+D143</x:f>
        <x:v>53344015</x:v>
      </x:c>
      <x:c r="E169" s="2">
        <x:f>+E15+E59+E101+E143</x:f>
        <x:v>5334401.5</x:v>
      </x:c>
      <x:c r="F169" s="2">
        <x:f>+F15+F59+F101+F143</x:f>
        <x:v>58678416.5</x:v>
      </x:c>
      <x:c r="K169" s="2">
        <x:f>+K15+K59+K101+K143</x:f>
        <x:v>51902583</x:v>
      </x:c>
      <x:c r="L169" s="2">
        <x:f>+L15+L59+L101+L143</x:f>
        <x:v>5190247.2999999998</x:v>
      </x:c>
      <x:c r="M169" s="2">
        <x:f>+M15+M59+M101+M143</x:f>
        <x:v>57092830.300000004</x:v>
      </x:c>
    </x:row>
    <x:row r="170" spans="1:13">
      <x:c r="A170" s="1" t="s">
        <x:v>153</x:v>
      </x:c>
      <x:c r="D170" s="2">
        <x:f>+D22+D64+D106+D148</x:f>
        <x:v>55670000</x:v>
      </x:c>
      <x:c r="E170" s="2">
        <x:f>+E22+E64+E106+E148</x:f>
        <x:v>0</x:v>
      </x:c>
      <x:c r="F170" s="2">
        <x:f>+F22+F64+F106+F148</x:f>
        <x:v>55670000</x:v>
      </x:c>
      <x:c r="K170" s="2">
        <x:f>+K22+K64+K106+K148</x:f>
        <x:v>76985000</x:v>
      </x:c>
      <x:c r="L170" s="2">
        <x:f>+L22+L64+L106+L148</x:f>
        <x:v>0</x:v>
      </x:c>
      <x:c r="M170" s="2">
        <x:f>+M22+M64+M106+M148</x:f>
        <x:v>76985000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1130000</x:v>
      </x:c>
      <x:c r="E171" s="2">
        <x:f>+E27+E69+E111+E153</x:f>
        <x:v>113000</x:v>
      </x:c>
      <x:c r="F171" s="2">
        <x:f>+F27+F69+F111+F153</x:f>
        <x:v>1243000</x:v>
      </x:c>
      <x:c r="H171" s="1"/>
      <x:c r="I171" s="1"/>
      <x:c r="J171" s="1"/>
      <x:c r="K171" s="2">
        <x:f>+K27+K69+K111+K153</x:f>
        <x:v>0</x:v>
      </x:c>
      <x:c r="L171" s="2">
        <x:f>+L27+L69+L111+L153</x:f>
        <x:v>0</x:v>
      </x:c>
      <x:c r="M171" s="2">
        <x:f>+M27+M69+M111+M153</x:f>
        <x:v>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9022896</x:v>
      </x:c>
      <x:c r="E172" s="2">
        <x:f>+E38+E80+E122+E164</x:f>
        <x:v>538153.59999999998</x:v>
      </x:c>
      <x:c r="F172" s="2">
        <x:f>+F38+F80+F122+F164</x:f>
        <x:v>9561049.5999999996</x:v>
      </x:c>
      <x:c r="H172" s="1"/>
      <x:c r="I172" s="1"/>
      <x:c r="J172" s="1"/>
      <x:c r="K172" s="2">
        <x:f>+K38+K80+K122+K164</x:f>
        <x:v>21079501</x:v>
      </x:c>
      <x:c r="L172" s="2">
        <x:f>+L38+L80+L122+L164</x:f>
        <x:v>427624.09999999998</x:v>
      </x:c>
      <x:c r="M172" s="2">
        <x:f>+M38+M80+M122+M164</x:f>
        <x:v>21507125.100000001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119166911</x:v>
      </x:c>
      <x:c r="E173" s="2">
        <x:f>SUM(E169:E172)</x:f>
        <x:v>5985555.0999999996</x:v>
      </x:c>
      <x:c r="F173" s="2">
        <x:f>SUM(F169:F172)</x:f>
        <x:v>125152466.09999999</x:v>
      </x:c>
      <x:c r="H173" s="1"/>
      <x:c r="I173" s="1"/>
      <x:c r="J173" s="1"/>
      <x:c r="K173" s="2">
        <x:f>SUM(K169:K172)</x:f>
        <x:v>149967084</x:v>
      </x:c>
      <x:c r="L173" s="2">
        <x:f>SUM(L169:L172)</x:f>
        <x:v>5617871.3999999994</x:v>
      </x:c>
      <x:c r="M173" s="2">
        <x:f>SUM(M169:M172)</x:f>
        <x:v>155584955.40000001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105246598</x:v>
      </x:c>
      <x:c r="E176" s="2">
        <x:f>+E169+L169</x:f>
        <x:v>10524648.800000001</x:v>
      </x:c>
      <x:c r="F176" s="2">
        <x:f>+F169+M169</x:f>
        <x:v>115771246.80000001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9">+D170+K170</x:f>
        <x:v>132655000</x:v>
      </x:c>
      <x:c r="E177" s="2">
        <x:f t="shared" si="29"/>
        <x:v>0</x:v>
      </x:c>
      <x:c r="F177" s="2">
        <x:f t="shared" si="29"/>
        <x:v>132655000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9"/>
        <x:v>1130000</x:v>
      </x:c>
      <x:c r="E178" s="2">
        <x:f t="shared" si="29"/>
        <x:v>113000</x:v>
      </x:c>
      <x:c r="F178" s="2">
        <x:f t="shared" si="29"/>
        <x:v>1243000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9"/>
        <x:v>30102397</x:v>
      </x:c>
      <x:c r="E179" s="2">
        <x:f t="shared" si="29"/>
        <x:v>965777.69999999995</x:v>
      </x:c>
      <x:c r="F179" s="2">
        <x:f t="shared" si="29"/>
        <x:v>31068174.700000003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269133995</x:v>
      </x:c>
      <x:c r="E180" s="2">
        <x:f>SUM(E176:E179)</x:f>
        <x:v>11603426.5</x:v>
      </x:c>
      <x:c r="F180" s="2">
        <x:f>SUM(F176:F179)</x:f>
        <x:v>280737421.5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314783990</x:v>
      </x:c>
      <x:c r="E181" s="2">
        <x:f>E4+E43+E85+L4+L43+L85</x:f>
        <x:v>2709010</x:v>
      </x:c>
      <x:c r="F181" s="2">
        <x:f>F4+F43+F85+M4+M43+M85</x:f>
        <x:v>317493000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45649995</x:v>
      </x:c>
      <x:c r="E182" s="2">
        <x:f>+E181-E180</x:f>
        <x:v>-8894416.5</x:v>
      </x:c>
      <x:c r="F182" s="2">
        <x:f>+F181-F180</x:f>
        <x:v>36755578.5</x:v>
      </x:c>
      <x:c r="H182" s="1"/>
      <x:c r="I182" s="1"/>
      <x:c r="J182" s="1"/>
    </x:row>
  </x:sheetData>
  <x:mergeCells count="41">
    <x:mergeCell ref="A16:A21"/>
    <x:mergeCell ref="H16:H21"/>
    <x:mergeCell ref="A1:N1"/>
    <x:mergeCell ref="A2:G2"/>
    <x:mergeCell ref="H2:N2"/>
    <x:mergeCell ref="A5:A14"/>
    <x:mergeCell ref="H5:H14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R12"/>
  <x:sheetViews>
    <x:sheetView view="pageBreakPreview" topLeftCell="A1" zoomScaleNormal="100" zoomScaleSheetLayoutView="100" workbookViewId="0">
      <x:selection activeCell="F11" activeCellId="0" sqref="F11:F1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1776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90"/>
      <x:c r="C2" s="90"/>
      <x:c r="D2" s="90"/>
      <x:c r="E2" s="90"/>
      <x:c r="F2" s="90"/>
      <x:c r="G2" s="90"/>
      <x:c r="H2" s="90"/>
      <x:c r="I2" s="90"/>
      <x:c r="J2" s="90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92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'20년01월(세부내역)'!D4</x:f>
        <x:v>107000000</x:v>
      </x:c>
      <x:c r="E5" s="67">
        <x:f>'20년01월(세부내역)'!D15</x:f>
        <x:v>65043730</x:v>
      </x:c>
      <x:c r="F5" s="67">
        <x:f>'20년01월(세부내역)'!D22</x:f>
        <x:v>30015000</x:v>
      </x:c>
      <x:c r="G5" s="67">
        <x:f>'20년01월(세부내역)'!D27</x:f>
        <x:v>840000</x:v>
      </x:c>
      <x:c r="H5" s="67">
        <x:f>'20년01월(세부내역)'!D38</x:f>
        <x:v>4814416</x:v>
      </x:c>
      <x:c r="I5" s="75">
        <x:f t="shared" ref="I5:I10" si="0">+SUM(E5:H5)</x:f>
        <x:v>100713146</x:v>
      </x:c>
      <x:c r="J5" s="9">
        <x:f t="shared" ref="J5:J11" si="1">D5-I5</x:f>
        <x:v>6286854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'20년01월(세부내역)'!K4</x:f>
        <x:v>15470000</x:v>
      </x:c>
      <x:c r="E6" s="59">
        <x:f>+'20년01월(세부내역)'!K15</x:f>
        <x:v>4015400</x:v>
      </x:c>
      <x:c r="F6" s="59">
        <x:f>'20년01월(세부내역)'!K22</x:f>
        <x:v>14305000</x:v>
      </x:c>
      <x:c r="G6" s="59">
        <x:f>'20년01월(세부내역)'!K27</x:f>
        <x:v>0</x:v>
      </x:c>
      <x:c r="H6" s="59">
        <x:f>'20년01월(세부내역)'!K38</x:f>
        <x:v>1999108</x:v>
      </x:c>
      <x:c r="I6" s="75">
        <x:f t="shared" si="0"/>
        <x:v>20319508</x:v>
      </x:c>
      <x:c r="J6" s="9">
        <x:f t="shared" si="1"/>
        <x:v>-4849508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'20년01월(세부내역)'!D43</x:f>
        <x:v>11173788</x:v>
      </x:c>
      <x:c r="E7" s="59">
        <x:f>+'20년01월(세부내역)'!D59</x:f>
        <x:v>2391400</x:v>
      </x:c>
      <x:c r="F7" s="59">
        <x:f>'20년01월(세부내역)'!D64</x:f>
        <x:v>10520000</x:v>
      </x:c>
      <x:c r="G7" s="59">
        <x:f>'20년01월(세부내역)'!D69</x:f>
        <x:v>0</x:v>
      </x:c>
      <x:c r="H7" s="59">
        <x:f>'20년01월(세부내역)'!D80</x:f>
        <x:v>914450</x:v>
      </x:c>
      <x:c r="I7" s="75">
        <x:f t="shared" si="0"/>
        <x:v>13825850</x:v>
      </x:c>
      <x:c r="J7" s="80">
        <x:f t="shared" si="1"/>
        <x:v>-2652062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'20년01월(세부내역)'!K43</x:f>
        <x:v>146033000</x:v>
      </x:c>
      <x:c r="E8" s="59">
        <x:f>'20년01월(세부내역)'!K59</x:f>
        <x:v>37055765</x:v>
      </x:c>
      <x:c r="F8" s="59">
        <x:f>'20년01월(세부내역)'!K64</x:f>
        <x:v>37960000</x:v>
      </x:c>
      <x:c r="G8" s="59">
        <x:f>'20년01월(세부내역)'!K69</x:f>
        <x:v>0</x:v>
      </x:c>
      <x:c r="H8" s="59">
        <x:f>'20년01월(세부내역)'!K80</x:f>
        <x:v>2983580</x:v>
      </x:c>
      <x:c r="I8" s="75">
        <x:f t="shared" si="0"/>
        <x:v>77999345</x:v>
      </x:c>
      <x:c r="J8" s="9">
        <x:f t="shared" si="1"/>
        <x:v>68033655</x:v>
      </x:c>
      <x:c r="K8" s="71" t="s">
        <x:v>641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'20년01월(세부내역)'!D85</x:f>
        <x:v>39579234</x:v>
      </x:c>
      <x:c r="E9" s="59">
        <x:f>'20년01월(세부내역)'!D101</x:f>
        <x:v>6924500</x:v>
      </x:c>
      <x:c r="F9" s="59">
        <x:f>'20년01월(세부내역)'!D106</x:f>
        <x:v>18550000</x:v>
      </x:c>
      <x:c r="G9" s="59">
        <x:f>'20년01월(세부내역)'!D111</x:f>
        <x:v>0</x:v>
      </x:c>
      <x:c r="H9" s="59">
        <x:f>'20년01월(세부내역)'!D122</x:f>
        <x:v>2471150</x:v>
      </x:c>
      <x:c r="I9" s="75">
        <x:f t="shared" si="0"/>
        <x:v>27945650</x:v>
      </x:c>
      <x:c r="J9" s="9">
        <x:f t="shared" si="1"/>
        <x:v>11633584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'20년01월(세부내역)'!K85</x:f>
        <x:v>34696269</x:v>
      </x:c>
      <x:c r="E10" s="59">
        <x:f>'20년01월(세부내역)'!K101</x:f>
        <x:v>18120050</x:v>
      </x:c>
      <x:c r="F10" s="59">
        <x:f>'20년01월(세부내역)'!K106</x:f>
        <x:v>22175000</x:v>
      </x:c>
      <x:c r="G10" s="59">
        <x:f>'20년01월(세부내역)'!K111</x:f>
        <x:v>0</x:v>
      </x:c>
      <x:c r="H10" s="59">
        <x:f>'20년01월(세부내역)'!K122</x:f>
        <x:v>1870400</x:v>
      </x:c>
      <x:c r="I10" s="75">
        <x:f t="shared" si="0"/>
        <x:v>42165450</x:v>
      </x:c>
      <x:c r="J10" s="9">
        <x:f t="shared" si="1"/>
        <x:v>-7469181</x:v>
      </x:c>
      <x:c r="K10" s="59"/>
    </x:row>
    <x:row r="11" spans="1:11" ht="30" customHeight="1">
      <x:c r="A11" s="63">
        <x:v>7</x:v>
      </x:c>
      <x:c r="B11" s="63" t="s">
        <x:v>672</x:v>
      </x:c>
      <x:c r="C11" s="58" t="s">
        <x:v>688</x:v>
      </x:c>
      <x:c r="D11" s="74">
        <x:f>'20년01월(세부내역)'!D127</x:f>
        <x:v>24146000</x:v>
      </x:c>
      <x:c r="E11" s="59">
        <x:f>'20년01월(세부내역)'!D143</x:f>
        <x:v>6812475</x:v>
      </x:c>
      <x:c r="F11" s="59">
        <x:f>'20년01월(세부내역)'!D148</x:f>
        <x:v>1990000</x:v>
      </x:c>
      <x:c r="G11" s="59">
        <x:f>'20년01월(세부내역)'!D153</x:f>
        <x:v>0</x:v>
      </x:c>
      <x:c r="H11" s="59">
        <x:f>'20년01월(세부내역)'!D164</x:f>
        <x:v>146100</x:v>
      </x:c>
      <x:c r="I11" s="75">
        <x:f>+SUM(E11:H11)</x:f>
        <x:v>8948575</x:v>
      </x:c>
      <x:c r="J11" s="9">
        <x:f t="shared" si="1"/>
        <x:v>15197425</x:v>
      </x:c>
      <x:c r="K11" s="71"/>
    </x:row>
    <x:row r="12" spans="1:11" ht="30" customHeight="1">
      <x:c r="A12" s="64"/>
      <x:c r="B12" s="64" t="s">
        <x:v>1690</x:v>
      </x:c>
      <x:c r="C12" s="65"/>
      <x:c r="D12" s="68">
        <x:f>SUM(D5:D11)</x:f>
        <x:v>378098291</x:v>
      </x:c>
      <x:c r="E12" s="66">
        <x:f t="shared" ref="E12:J12" si="2">SUM(E5:E11)</x:f>
        <x:v>140363320</x:v>
      </x:c>
      <x:c r="F12" s="66">
        <x:f t="shared" si="2"/>
        <x:v>135515000</x:v>
      </x:c>
      <x:c r="G12" s="66">
        <x:f t="shared" si="2"/>
        <x:v>840000</x:v>
      </x:c>
      <x:c r="H12" s="66">
        <x:f t="shared" si="2"/>
        <x:v>15199204</x:v>
      </x:c>
      <x:c r="I12" s="69">
        <x:f t="shared" si="2"/>
        <x:v>291917524</x:v>
      </x:c>
      <x:c r="J12" s="66">
        <x:f t="shared" si="2"/>
        <x:v>86180767</x:v>
      </x:c>
      <x:c r="K12" s="66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N182"/>
  <x:sheetViews>
    <x:sheetView view="pageBreakPreview" topLeftCell="A52" zoomScaleNormal="100" zoomScaleSheetLayoutView="100" workbookViewId="0">
      <x:selection activeCell="D70" activeCellId="0" sqref="D70:D70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1741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92" t="s">
        <x:v>144</x:v>
      </x:c>
      <x:c r="C3" s="92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92" t="s">
        <x:v>144</x:v>
      </x:c>
      <x:c r="J3" s="92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107000000</x:v>
      </x:c>
      <x:c r="E4" s="39"/>
      <x:c r="F4" s="40">
        <x:f>+D4+E4</x:f>
        <x:v>107000000</x:v>
      </x:c>
      <x:c r="G4" s="42"/>
      <x:c r="H4" s="91" t="s">
        <x:v>151</x:v>
      </x:c>
      <x:c r="I4" s="38" t="s">
        <x:v>1679</x:v>
      </x:c>
      <x:c r="J4" s="38" t="s">
        <x:v>1030</x:v>
      </x:c>
      <x:c r="K4" s="39">
        <x:v>15470000</x:v>
      </x:c>
      <x:c r="L4" s="39">
        <x:v>35000</x:v>
      </x:c>
      <x:c r="M4" s="40">
        <x:f>+K4+L4</x:f>
        <x:v>15505000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197</x:v>
      </x:c>
      <x:c r="D5" s="20">
        <x:v>132500</x:v>
      </x:c>
      <x:c r="E5" s="20">
        <x:f>+D5*0.1</x:f>
        <x:v>13250</x:v>
      </x:c>
      <x:c r="F5" s="21">
        <x:f>+D5+E5</x:f>
        <x:v>145750</x:v>
      </x:c>
      <x:c r="G5" s="22"/>
      <x:c r="H5" s="298" t="s">
        <x:v>148</x:v>
      </x:c>
      <x:c r="I5" s="19" t="s">
        <x:v>838</x:v>
      </x:c>
      <x:c r="J5" s="19" t="s">
        <x:v>681</x:v>
      </x:c>
      <x:c r="K5" s="20">
        <x:v>1226040</x:v>
      </x:c>
      <x:c r="L5" s="20">
        <x:f>K5*0.1</x:f>
        <x:v>122604</x:v>
      </x:c>
      <x:c r="M5" s="21">
        <x:f t="shared" ref="M5:M21" si="0">+K5+L5</x:f>
        <x:v>1348644</x:v>
      </x:c>
      <x:c r="N5" s="22"/>
    </x:row>
    <x:row r="6" spans="1:14" ht="20.100000000000001" customHeight="1">
      <x:c r="A6" s="299"/>
      <x:c r="B6" s="3" t="s">
        <x:v>867</x:v>
      </x:c>
      <x:c r="C6" s="3" t="s">
        <x:v>374</x:v>
      </x:c>
      <x:c r="D6" s="4">
        <x:v>23815740</x:v>
      </x:c>
      <x:c r="E6" s="4">
        <x:f t="shared" ref="E6:E13" si="1">+D6*0.1</x:f>
        <x:v>2381574</x:v>
      </x:c>
      <x:c r="F6" s="5">
        <x:f>+D6+E6</x:f>
        <x:v>26197314</x:v>
      </x:c>
      <x:c r="G6" s="6"/>
      <x:c r="H6" s="299"/>
      <x:c r="I6" s="3" t="s">
        <x:v>867</x:v>
      </x:c>
      <x:c r="J6" s="3" t="s">
        <x:v>70</x:v>
      </x:c>
      <x:c r="K6" s="4">
        <x:v>989600</x:v>
      </x:c>
      <x:c r="L6" s="4">
        <x:f t="shared" ref="L6:L14" si="2">K6*0.1</x:f>
        <x:v>98960</x:v>
      </x:c>
      <x:c r="M6" s="5">
        <x:f t="shared" si="0"/>
        <x:v>1088560</x:v>
      </x:c>
      <x:c r="N6" s="6"/>
    </x:row>
    <x:row r="7" spans="1:14" ht="20.100000000000001" customHeight="1">
      <x:c r="A7" s="299"/>
      <x:c r="B7" s="3" t="s">
        <x:v>34</x:v>
      </x:c>
      <x:c r="C7" s="3" t="s">
        <x:v>1131</x:v>
      </x:c>
      <x:c r="D7" s="4">
        <x:v>45600</x:v>
      </x:c>
      <x:c r="E7" s="4">
        <x:f t="shared" si="1"/>
        <x:v>4560</x:v>
      </x:c>
      <x:c r="F7" s="5">
        <x:f>+D7+E7</x:f>
        <x:v>50160</x:v>
      </x:c>
      <x:c r="G7" s="6"/>
      <x:c r="H7" s="299"/>
      <x:c r="I7" s="3" t="s">
        <x:v>1119</x:v>
      </x:c>
      <x:c r="J7" s="3" t="s">
        <x:v>1125</x:v>
      </x:c>
      <x:c r="K7" s="4">
        <x:v>347100</x:v>
      </x:c>
      <x:c r="L7" s="4">
        <x:f>K7*0.1</x:f>
        <x:v>34710</x:v>
      </x:c>
      <x:c r="M7" s="5">
        <x:f t="shared" si="0"/>
        <x:v>381810</x:v>
      </x:c>
      <x:c r="N7" s="6"/>
    </x:row>
    <x:row r="8" spans="1:14" ht="20.100000000000001" customHeight="1">
      <x:c r="A8" s="299"/>
      <x:c r="B8" s="3" t="s">
        <x:v>840</x:v>
      </x:c>
      <x:c r="C8" s="3" t="s">
        <x:v>690</x:v>
      </x:c>
      <x:c r="D8" s="4">
        <x:v>406050</x:v>
      </x:c>
      <x:c r="E8" s="4">
        <x:f t="shared" si="1"/>
        <x:v>40605</x:v>
      </x:c>
      <x:c r="F8" s="5">
        <x:f t="shared" ref="F8:F14" si="3">+D8+E8</x:f>
        <x:v>446655</x:v>
      </x:c>
      <x:c r="G8" s="6"/>
      <x:c r="H8" s="299"/>
      <x:c r="I8" s="3" t="s">
        <x:v>976</x:v>
      </x:c>
      <x:c r="J8" s="3" t="s">
        <x:v>350</x:v>
      </x:c>
      <x:c r="K8" s="4">
        <x:v>644000</x:v>
      </x:c>
      <x:c r="L8" s="4">
        <x:f t="shared" si="2"/>
        <x:v>64400</x:v>
      </x:c>
      <x:c r="M8" s="5">
        <x:f t="shared" si="0"/>
        <x:v>708400</x:v>
      </x:c>
      <x:c r="N8" s="6"/>
    </x:row>
    <x:row r="9" spans="1:14" ht="20.100000000000001" customHeight="1">
      <x:c r="A9" s="299"/>
      <x:c r="B9" s="3" t="s">
        <x:v>854</x:v>
      </x:c>
      <x:c r="C9" s="3" t="s">
        <x:v>340</x:v>
      </x:c>
      <x:c r="D9" s="4">
        <x:v>10168000</x:v>
      </x:c>
      <x:c r="E9" s="4">
        <x:f t="shared" si="1"/>
        <x:v>1016800</x:v>
      </x:c>
      <x:c r="F9" s="5">
        <x:f t="shared" si="3"/>
        <x:v>11184800</x:v>
      </x:c>
      <x:c r="G9" s="6"/>
      <x:c r="H9" s="299"/>
      <x:c r="I9" s="3" t="s">
        <x:v>846</x:v>
      </x:c>
      <x:c r="J9" s="3" t="s">
        <x:v>1108</x:v>
      </x:c>
      <x:c r="K9" s="4">
        <x:v>808660</x:v>
      </x:c>
      <x:c r="L9" s="4">
        <x:f t="shared" si="2"/>
        <x:v>80866</x:v>
      </x:c>
      <x:c r="M9" s="5">
        <x:f t="shared" si="0"/>
        <x:v>889526</x:v>
      </x:c>
      <x:c r="N9" s="6"/>
    </x:row>
    <x:row r="10" spans="1:14" ht="20.100000000000001" customHeight="1">
      <x:c r="A10" s="299"/>
      <x:c r="B10" s="3" t="s">
        <x:v>895</x:v>
      </x:c>
      <x:c r="C10" s="3" t="s">
        <x:v>377</x:v>
      </x:c>
      <x:c r="D10" s="4">
        <x:v>24687500</x:v>
      </x:c>
      <x:c r="E10" s="4">
        <x:f t="shared" si="1"/>
        <x:v>2468750</x:v>
      </x:c>
      <x:c r="F10" s="5">
        <x:f t="shared" si="3"/>
        <x:v>27156250</x:v>
      </x:c>
      <x:c r="G10" s="6"/>
      <x:c r="H10" s="299"/>
      <x:c r="I10" s="3"/>
      <x:c r="J10" s="3"/>
      <x:c r="K10" s="4"/>
      <x:c r="L10" s="4">
        <x:f t="shared" si="2"/>
        <x:v>0</x:v>
      </x:c>
      <x:c r="M10" s="5">
        <x:f t="shared" si="0"/>
        <x:v>0</x:v>
      </x:c>
      <x:c r="N10" s="6"/>
    </x:row>
    <x:row r="11" spans="1:14" ht="20.100000000000001" customHeight="1">
      <x:c r="A11" s="299"/>
      <x:c r="B11" s="3" t="s">
        <x:v>864</x:v>
      </x:c>
      <x:c r="C11" s="3" t="s">
        <x:v>92</x:v>
      </x:c>
      <x:c r="D11" s="4">
        <x:f>2819350+1470290</x:f>
        <x:v>4289640</x:v>
      </x:c>
      <x:c r="E11" s="4">
        <x:f t="shared" si="1"/>
        <x:v>428964</x:v>
      </x:c>
      <x:c r="F11" s="5">
        <x:f t="shared" si="3"/>
        <x:v>4718604</x:v>
      </x:c>
      <x:c r="G11" s="6"/>
      <x:c r="H11" s="299"/>
      <x:c r="I11" s="3"/>
      <x:c r="J11" s="3"/>
      <x:c r="K11" s="4"/>
      <x:c r="L11" s="4">
        <x:f t="shared" si="2"/>
        <x:v>0</x:v>
      </x:c>
      <x:c r="M11" s="5">
        <x:f t="shared" si="0"/>
        <x:v>0</x:v>
      </x:c>
      <x:c r="N11" s="6"/>
    </x:row>
    <x:row r="12" spans="1:14" ht="20.100000000000001" customHeight="1">
      <x:c r="A12" s="299"/>
      <x:c r="B12" s="3" t="s">
        <x:v>846</x:v>
      </x:c>
      <x:c r="C12" s="3" t="s">
        <x:v>686</x:v>
      </x:c>
      <x:c r="D12" s="4">
        <x:v>960700</x:v>
      </x:c>
      <x:c r="E12" s="4">
        <x:f>+D12*0.1</x:f>
        <x:v>96070</x:v>
      </x:c>
      <x:c r="F12" s="5">
        <x:f>+D12+E12</x:f>
        <x:v>1056770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 t="s">
        <x:v>965</x:v>
      </x:c>
      <x:c r="C13" s="3" t="s">
        <x:v>687</x:v>
      </x:c>
      <x:c r="D13" s="44">
        <x:v>538000</x:v>
      </x:c>
      <x:c r="E13" s="44">
        <x:f t="shared" si="1"/>
        <x:v>53800</x:v>
      </x:c>
      <x:c r="F13" s="45">
        <x:f t="shared" si="3"/>
        <x:v>591800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3"/>
        <x:v>0</x:v>
      </x:c>
      <x:c r="G14" s="6"/>
      <x:c r="H14" s="300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65043730</x:v>
      </x:c>
      <x:c r="E15" s="9">
        <x:f>SUM(E5:E14)</x:f>
        <x:v>6504373</x:v>
      </x:c>
      <x:c r="F15" s="10">
        <x:f>SUM(F5:F14)</x:f>
        <x:v>71548103</x:v>
      </x:c>
      <x:c r="G15" s="11"/>
      <x:c r="H15" s="7"/>
      <x:c r="I15" s="8"/>
      <x:c r="J15" s="8"/>
      <x:c r="K15" s="9">
        <x:f>SUM(K5:K14)</x:f>
        <x:v>4015400</x:v>
      </x:c>
      <x:c r="L15" s="9">
        <x:f>SUM(L5:L14)</x:f>
        <x:v>401540</x:v>
      </x:c>
      <x:c r="M15" s="10">
        <x:f>SUM(M5:M14)</x:f>
        <x:v>4416940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 t="s">
        <x:v>1079</x:v>
      </x:c>
      <x:c r="D16" s="44">
        <x:v>30015000</x:v>
      </x:c>
      <x:c r="E16" s="44"/>
      <x:c r="F16" s="45">
        <x:f t="shared" ref="F16:F21" si="4">+D16+E16</x:f>
        <x:v>30015000</x:v>
      </x:c>
      <x:c r="G16" s="37"/>
      <x:c r="H16" s="301" t="s">
        <x:v>153</x:v>
      </x:c>
      <x:c r="I16" s="3" t="s">
        <x:v>1677</x:v>
      </x:c>
      <x:c r="J16" s="3" t="s">
        <x:v>1083</x:v>
      </x:c>
      <x:c r="K16" s="4">
        <x:v>14305000</x:v>
      </x:c>
      <x:c r="L16" s="4"/>
      <x:c r="M16" s="5">
        <x:f t="shared" si="0"/>
        <x:v>14305000</x:v>
      </x:c>
      <x:c r="N16" s="6"/>
    </x:row>
    <x:row r="17" spans="1:14" ht="20.100000000000001" customHeight="1">
      <x:c r="A17" s="299"/>
      <x:c r="B17" s="3"/>
      <x:c r="C17" s="3"/>
      <x:c r="D17" s="4"/>
      <x:c r="E17" s="4"/>
      <x:c r="F17" s="5">
        <x:f t="shared" si="4"/>
        <x:v>0</x:v>
      </x:c>
      <x:c r="G17" s="37"/>
      <x:c r="H17" s="299"/>
      <x:c r="I17" s="3"/>
      <x:c r="J17" s="3"/>
      <x:c r="K17" s="4"/>
      <x:c r="L17" s="4">
        <x:f>+K17*0.1</x:f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/>
      <x:c r="C18" s="3"/>
      <x:c r="D18" s="4"/>
      <x:c r="E18" s="4"/>
      <x:c r="F18" s="5">
        <x:f t="shared" si="4"/>
        <x:v>0</x:v>
      </x:c>
      <x:c r="G18" s="37"/>
      <x:c r="H18" s="299"/>
      <x:c r="I18" s="3"/>
      <x:c r="J18" s="3"/>
      <x:c r="K18" s="4"/>
      <x:c r="L18" s="4">
        <x:f>+K18*0.1</x:f>
        <x:v>0</x:v>
      </x:c>
      <x:c r="M18" s="5">
        <x:f t="shared" si="0"/>
        <x:v>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 t="shared" si="4"/>
        <x:v>0</x:v>
      </x:c>
      <x:c r="G19" s="6"/>
      <x:c r="H19" s="299"/>
      <x:c r="I19" s="3"/>
      <x:c r="J19" s="3"/>
      <x:c r="K19" s="4"/>
      <x:c r="L19" s="4"/>
      <x:c r="M19" s="5">
        <x:f t="shared" si="0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4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4"/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30015000</x:v>
      </x:c>
      <x:c r="E22" s="9">
        <x:f>SUM(E16:E21)</x:f>
        <x:v>0</x:v>
      </x:c>
      <x:c r="F22" s="10">
        <x:f>SUM(F16:F21)</x:f>
        <x:v>30015000</x:v>
      </x:c>
      <x:c r="G22" s="11"/>
      <x:c r="H22" s="7"/>
      <x:c r="I22" s="8"/>
      <x:c r="J22" s="8"/>
      <x:c r="K22" s="9">
        <x:f>SUM(K16:K21)</x:f>
        <x:v>14305000</x:v>
      </x:c>
      <x:c r="L22" s="9">
        <x:f>SUM(L16:L21)</x:f>
        <x:v>0</x:v>
      </x:c>
      <x:c r="M22" s="10">
        <x:f>SUM(M16:M21)</x:f>
        <x:v>14305000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240000</x:v>
      </x:c>
      <x:c r="E23" s="4">
        <x:f>+D23*0.1</x:f>
        <x:v>24000</x:v>
      </x:c>
      <x:c r="F23" s="5">
        <x:f>+D23+E23</x:f>
        <x:v>264000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/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840000</x:v>
      </x:c>
      <x:c r="E27" s="9">
        <x:f>SUM(E23:E26)</x:f>
        <x:v>84000</x:v>
      </x:c>
      <x:c r="F27" s="10">
        <x:f>SUM(F23:F26)</x:f>
        <x:v>924000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952</x:v>
      </x:c>
      <x:c r="C28" s="3" t="s">
        <x:v>28</x:v>
      </x:c>
      <x:c r="D28" s="4">
        <x:v>1480000</x:v>
      </x:c>
      <x:c r="E28" s="4">
        <x:f>+D28*0.1</x:f>
        <x:v>148000</x:v>
      </x:c>
      <x:c r="F28" s="5">
        <x:f>+D28+E28</x:f>
        <x:v>1628000</x:v>
      </x:c>
      <x:c r="G28" s="6"/>
      <x:c r="H28" s="301" t="s">
        <x:v>149</x:v>
      </x:c>
      <x:c r="I28" s="3" t="s">
        <x:v>1091</x:v>
      </x:c>
      <x:c r="J28" s="3" t="s">
        <x:v>28</x:v>
      </x:c>
      <x:c r="K28" s="4">
        <x:v>441818</x:v>
      </x:c>
      <x:c r="L28" s="4">
        <x:f>+K28*0.1</x:f>
        <x:v>44181.800000000003</x:v>
      </x:c>
      <x:c r="M28" s="5">
        <x:f t="shared" ref="M28:M37" si="5">+K28+L28</x:f>
        <x:v>485999.79999999999</x:v>
      </x:c>
      <x:c r="N28" s="6"/>
    </x:row>
    <x:row r="29" spans="1:14" ht="20.100000000000001" customHeight="1">
      <x:c r="A29" s="299"/>
      <x:c r="B29" s="3" t="s">
        <x:v>959</x:v>
      </x:c>
      <x:c r="C29" s="3" t="s">
        <x:v>825</x:v>
      </x:c>
      <x:c r="D29" s="4">
        <x:v>467000</x:v>
      </x:c>
      <x:c r="E29" s="4">
        <x:f>+D29*0.1</x:f>
        <x:v>46700</x:v>
      </x:c>
      <x:c r="F29" s="5">
        <x:f>+D29+E29</x:f>
        <x:v>513700</x:v>
      </x:c>
      <x:c r="G29" s="6"/>
      <x:c r="H29" s="299"/>
      <x:c r="I29" s="3" t="s">
        <x:v>217</x:v>
      </x:c>
      <x:c r="J29" s="3" t="s">
        <x:v>941</x:v>
      </x:c>
      <x:c r="K29" s="4">
        <x:v>500000</x:v>
      </x:c>
      <x:c r="L29" s="4">
        <x:f>+K29*0.1</x:f>
        <x:v>50000</x:v>
      </x:c>
      <x:c r="M29" s="5">
        <x:f>+K29+L29</x:f>
        <x:v>550000</x:v>
      </x:c>
      <x:c r="N29" s="6" t="s">
        <x:v>196</x:v>
      </x:c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883</x:v>
      </x:c>
      <x:c r="J30" s="3" t="s">
        <x:v>896</x:v>
      </x:c>
      <x:c r="K30" s="4"/>
      <x:c r="L30" s="4">
        <x:f>K30*0.1</x:f>
        <x:v>0</x:v>
      </x:c>
      <x:c r="M30" s="5">
        <x:f>+K30+L30</x:f>
        <x:v>0</x:v>
      </x:c>
      <x:c r="N30" s="6" t="s">
        <x:v>1084</x:v>
      </x:c>
    </x:row>
    <x:row r="31" spans="1:14" ht="20.100000000000001" customHeight="1">
      <x:c r="A31" s="299"/>
      <x:c r="B31" s="3" t="s">
        <x:v>923</x:v>
      </x:c>
      <x:c r="C31" s="3" t="s">
        <x:v>896</x:v>
      </x:c>
      <x:c r="D31" s="4">
        <x:v>300000</x:v>
      </x:c>
      <x:c r="E31" s="4">
        <x:f>+D31*0.1</x:f>
        <x:v>30000</x:v>
      </x:c>
      <x:c r="F31" s="5">
        <x:f>+D31+E31</x:f>
        <x:v>330000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6">+D32+E32</x:f>
        <x:v>143000</x:v>
      </x:c>
      <x:c r="G32" s="6"/>
      <x:c r="H32" s="299"/>
      <x:c r="I32" s="3" t="s">
        <x:v>169</x:v>
      </x:c>
      <x:c r="J32" s="3" t="s">
        <x:v>149</x:v>
      </x:c>
      <x:c r="K32" s="4">
        <x:v>927290</x:v>
      </x:c>
      <x:c r="L32" s="4"/>
      <x:c r="M32" s="5">
        <x:f>+K32+L32</x:f>
        <x:v>927290</x:v>
      </x:c>
      <x:c r="N32" s="6"/>
    </x:row>
    <x:row r="33" spans="1:14" ht="20.100000000000001" customHeight="1">
      <x:c r="A33" s="299"/>
      <x:c r="B33" s="3" t="s">
        <x:v>185</x:v>
      </x:c>
      <x:c r="C33" s="3" t="s">
        <x:v>149</x:v>
      </x:c>
      <x:c r="D33" s="44">
        <x:v>1462870</x:v>
      </x:c>
      <x:c r="E33" s="44">
        <x:v>7000</x:v>
      </x:c>
      <x:c r="F33" s="45">
        <x:f t="shared" si="6"/>
        <x:v>1469870</x:v>
      </x:c>
      <x:c r="G33" s="6"/>
      <x:c r="H33" s="299"/>
      <x:c r="I33" s="3" t="s">
        <x:v>1120</x:v>
      </x:c>
      <x:c r="J33" s="3" t="s">
        <x:v>167</x:v>
      </x:c>
      <x:c r="K33" s="4">
        <x:v>30000</x:v>
      </x:c>
      <x:c r="L33" s="4">
        <x:f>K33*0.1</x:f>
        <x:v>3000</x:v>
      </x:c>
      <x:c r="M33" s="5">
        <x:f t="shared" si="5"/>
        <x:v>33000</x:v>
      </x:c>
      <x:c r="N33" s="6"/>
    </x:row>
    <x:row r="34" spans="1:14" ht="20.100000000000001" customHeight="1">
      <x:c r="A34" s="299"/>
      <x:c r="B34" s="3" t="s">
        <x:v>1699</x:v>
      </x:c>
      <x:c r="C34" s="3" t="s">
        <x:v>167</x:v>
      </x:c>
      <x:c r="D34" s="4"/>
      <x:c r="E34" s="4">
        <x:f>+D34*0.1</x:f>
        <x:v>0</x:v>
      </x:c>
      <x:c r="F34" s="5">
        <x:f t="shared" si="6"/>
        <x:v>0</x:v>
      </x:c>
      <x:c r="G34" s="6"/>
      <x:c r="H34" s="299"/>
      <x:c r="I34" s="3"/>
      <x:c r="J34" s="3"/>
      <x:c r="K34" s="4"/>
      <x:c r="L34" s="4"/>
      <x:c r="M34" s="5">
        <x:f t="shared" si="5"/>
        <x:v>0</x:v>
      </x:c>
      <x:c r="N34" s="6"/>
    </x:row>
    <x:row r="35" spans="1:14" ht="20.100000000000001" customHeight="1">
      <x:c r="A35" s="299"/>
      <x:c r="B35" s="3" t="s">
        <x:v>994</x:v>
      </x:c>
      <x:c r="C35" s="3" t="s">
        <x:v>8</x:v>
      </x:c>
      <x:c r="D35" s="4">
        <x:v>424546</x:v>
      </x:c>
      <x:c r="E35" s="4">
        <x:f>+D35*0.1-1</x:f>
        <x:v>42453.600000000006</x:v>
      </x:c>
      <x:c r="F35" s="5">
        <x:f t="shared" si="6"/>
        <x:v>466999.59999999998</x:v>
      </x:c>
      <x:c r="G35" s="6"/>
      <x:c r="H35" s="299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6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6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4814416</x:v>
      </x:c>
      <x:c r="E38" s="9">
        <x:f>SUM(E28:E37)</x:f>
        <x:v>287153.59999999998</x:v>
      </x:c>
      <x:c r="F38" s="10">
        <x:f>SUM(F28:F37)</x:f>
        <x:v>5101569.5999999996</x:v>
      </x:c>
      <x:c r="G38" s="11"/>
      <x:c r="H38" s="7"/>
      <x:c r="I38" s="8"/>
      <x:c r="J38" s="8"/>
      <x:c r="K38" s="9">
        <x:f>SUM(K28:K37)</x:f>
        <x:v>1999108</x:v>
      </x:c>
      <x:c r="L38" s="9">
        <x:f>SUM(L28:L37)</x:f>
        <x:v>107181.8</x:v>
      </x:c>
      <x:c r="M38" s="10">
        <x:f>SUM(M28:M37)</x:f>
        <x:v>2106289.7999999998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100713146</x:v>
      </x:c>
      <x:c r="E39" s="14">
        <x:f>+E15+E22+E27+E38</x:f>
        <x:v>6875526.5999999996</x:v>
      </x:c>
      <x:c r="F39" s="15">
        <x:f>+F15+F22+F27+F38</x:f>
        <x:v>107588672.59999999</x:v>
      </x:c>
      <x:c r="G39" s="16"/>
      <x:c r="H39" s="12"/>
      <x:c r="I39" s="13"/>
      <x:c r="J39" s="13"/>
      <x:c r="K39" s="14">
        <x:f>+K15+K22+K27+K38</x:f>
        <x:v>20319508</x:v>
      </x:c>
      <x:c r="L39" s="14">
        <x:f>+L15+L22+L27+L38</x:f>
        <x:v>508721.79999999999</x:v>
      </x:c>
      <x:c r="M39" s="15">
        <x:f>+M15+M22+M27+M38</x:f>
        <x:v>20828229.800000001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6286854</x:v>
      </x:c>
      <x:c r="E40" s="25">
        <x:f>+E4-E39</x:f>
        <x:v>-6875526.5999999996</x:v>
      </x:c>
      <x:c r="F40" s="26">
        <x:f>+F4-F39</x:f>
        <x:v>-588672.59999999404</x:v>
      </x:c>
      <x:c r="G40" s="27"/>
      <x:c r="H40" s="23"/>
      <x:c r="I40" s="24"/>
      <x:c r="J40" s="24"/>
      <x:c r="K40" s="25">
        <x:f>+K4-K39</x:f>
        <x:v>-4849508</x:v>
      </x:c>
      <x:c r="L40" s="25">
        <x:f>+L4-L39</x:f>
        <x:v>-473721.79999999999</x:v>
      </x:c>
      <x:c r="M40" s="26">
        <x:f>+M4-M39</x:f>
        <x:v>-5323229.8000000007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92" t="s">
        <x:v>144</x:v>
      </x:c>
      <x:c r="C42" s="92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92" t="s">
        <x:v>144</x:v>
      </x:c>
      <x:c r="J42" s="92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91" t="s">
        <x:v>151</x:v>
      </x:c>
      <x:c r="B43" s="38" t="s">
        <x:v>1679</x:v>
      </x:c>
      <x:c r="C43" s="38" t="s">
        <x:v>1030</x:v>
      </x:c>
      <x:c r="D43" s="39">
        <x:v>11173788</x:v>
      </x:c>
      <x:c r="E43" s="39">
        <x:v>826212</x:v>
      </x:c>
      <x:c r="F43" s="40">
        <x:f t="shared" ref="F43:F57" si="7">+D43+E43</x:f>
        <x:v>12000000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f>(4233000+560000)+(125700000+15540000)</x:f>
        <x:v>146033000</x:v>
      </x:c>
      <x:c r="L43" s="39">
        <x:f>56000+1554000</x:f>
        <x:v>1610000</x:v>
      </x:c>
      <x:c r="M43" s="40">
        <x:f>+K43+L43</x:f>
        <x:v>147643000</x:v>
      </x:c>
      <x:c r="N43" s="42" t="s">
        <x:v>1078</x:v>
      </x:c>
    </x:row>
    <x:row r="44" spans="1:14" ht="20.100000000000001" customHeight="1">
      <x:c r="A44" s="298" t="s">
        <x:v>148</x:v>
      </x:c>
      <x:c r="B44" s="19" t="s">
        <x:v>838</x:v>
      </x:c>
      <x:c r="C44" s="19" t="s">
        <x:v>1116</x:v>
      </x:c>
      <x:c r="D44" s="20">
        <x:v>1453500</x:v>
      </x:c>
      <x:c r="E44" s="20">
        <x:f t="shared" ref="E44:E49" si="8">D44*0.1</x:f>
        <x:v>145350</x:v>
      </x:c>
      <x:c r="F44" s="21">
        <x:f t="shared" si="7"/>
        <x:v>1598850</x:v>
      </x:c>
      <x:c r="G44" s="22"/>
      <x:c r="H44" s="298" t="s">
        <x:v>148</x:v>
      </x:c>
      <x:c r="I44" s="19" t="s">
        <x:v>21</x:v>
      </x:c>
      <x:c r="J44" s="19" t="s">
        <x:v>33</x:v>
      </x:c>
      <x:c r="K44" s="20">
        <x:v>2140830</x:v>
      </x:c>
      <x:c r="L44" s="20">
        <x:f t="shared" ref="L44:L50" si="9">K44*0.1</x:f>
        <x:v>214083</x:v>
      </x:c>
      <x:c r="M44" s="21">
        <x:f t="shared" ref="M44:M58" si="10">+K44+L44</x:f>
        <x:v>2354913</x:v>
      </x:c>
      <x:c r="N44" s="22"/>
    </x:row>
    <x:row r="45" spans="1:14" ht="20.100000000000001" customHeight="1">
      <x:c r="A45" s="299"/>
      <x:c r="B45" s="3" t="s">
        <x:v>840</x:v>
      </x:c>
      <x:c r="C45" s="3"/>
      <x:c r="D45" s="4"/>
      <x:c r="E45" s="4">
        <x:f t="shared" si="8"/>
        <x:v>0</x:v>
      </x:c>
      <x:c r="F45" s="5">
        <x:f t="shared" si="7"/>
        <x:v>0</x:v>
      </x:c>
      <x:c r="G45" s="6"/>
      <x:c r="H45" s="299"/>
      <x:c r="I45" s="3" t="s">
        <x:v>854</x:v>
      </x:c>
      <x:c r="J45" s="3" t="s">
        <x:v>676</x:v>
      </x:c>
      <x:c r="K45" s="4">
        <x:v>1880540</x:v>
      </x:c>
      <x:c r="L45" s="4">
        <x:f t="shared" si="9"/>
        <x:v>188054</x:v>
      </x:c>
      <x:c r="M45" s="5">
        <x:f t="shared" si="10"/>
        <x:v>2068594</x:v>
      </x:c>
      <x:c r="N45" s="6"/>
    </x:row>
    <x:row r="46" spans="1:14" ht="20.100000000000001" customHeight="1">
      <x:c r="A46" s="299"/>
      <x:c r="B46" s="3" t="s">
        <x:v>21</x:v>
      </x:c>
      <x:c r="C46" s="3" t="s">
        <x:v>691</x:v>
      </x:c>
      <x:c r="D46" s="4">
        <x:v>465100</x:v>
      </x:c>
      <x:c r="E46" s="4">
        <x:f t="shared" si="8"/>
        <x:v>46510</x:v>
      </x:c>
      <x:c r="F46" s="5">
        <x:f t="shared" si="7"/>
        <x:v>511610</x:v>
      </x:c>
      <x:c r="G46" s="6"/>
      <x:c r="H46" s="299"/>
      <x:c r="I46" s="3" t="s">
        <x:v>840</x:v>
      </x:c>
      <x:c r="J46" s="3" t="s">
        <x:v>684</x:v>
      </x:c>
      <x:c r="K46" s="4">
        <x:v>292470</x:v>
      </x:c>
      <x:c r="L46" s="4">
        <x:f t="shared" si="9"/>
        <x:v>29247</x:v>
      </x:c>
      <x:c r="M46" s="5">
        <x:f t="shared" si="10"/>
        <x:v>321717</x:v>
      </x:c>
      <x:c r="N46" s="6"/>
    </x:row>
    <x:row r="47" spans="1:14" ht="20.100000000000001" customHeight="1">
      <x:c r="A47" s="299"/>
      <x:c r="B47" s="3" t="s">
        <x:v>938</x:v>
      </x:c>
      <x:c r="C47" s="3" t="s">
        <x:v>191</x:v>
      </x:c>
      <x:c r="D47" s="4"/>
      <x:c r="E47" s="4">
        <x:f t="shared" si="8"/>
        <x:v>0</x:v>
      </x:c>
      <x:c r="F47" s="5">
        <x:f t="shared" si="7"/>
        <x:v>0</x:v>
      </x:c>
      <x:c r="G47" s="6"/>
      <x:c r="H47" s="299"/>
      <x:c r="I47" s="3" t="s">
        <x:v>967</x:v>
      </x:c>
      <x:c r="J47" s="3" t="s">
        <x:v>1115</x:v>
      </x:c>
      <x:c r="K47" s="4">
        <x:v>22094200</x:v>
      </x:c>
      <x:c r="L47" s="4">
        <x:f t="shared" si="9"/>
        <x:v>2209420</x:v>
      </x:c>
      <x:c r="M47" s="5">
        <x:f t="shared" si="10"/>
        <x:v>24303620</x:v>
      </x:c>
      <x:c r="N47" s="6"/>
    </x:row>
    <x:row r="48" spans="1:14" ht="20.100000000000001" customHeight="1">
      <x:c r="A48" s="299"/>
      <x:c r="B48" s="3" t="s">
        <x:v>846</x:v>
      </x:c>
      <x:c r="C48" s="3" t="s">
        <x:v>1110</x:v>
      </x:c>
      <x:c r="D48" s="4">
        <x:v>472800</x:v>
      </x:c>
      <x:c r="E48" s="4">
        <x:f t="shared" si="8"/>
        <x:v>47280</x:v>
      </x:c>
      <x:c r="F48" s="5">
        <x:f t="shared" si="7"/>
        <x:v>520080</x:v>
      </x:c>
      <x:c r="G48" s="6"/>
      <x:c r="H48" s="299"/>
      <x:c r="I48" s="3" t="s">
        <x:v>1052</x:v>
      </x:c>
      <x:c r="J48" s="3" t="s">
        <x:v>1122</x:v>
      </x:c>
      <x:c r="K48" s="4">
        <x:v>731000</x:v>
      </x:c>
      <x:c r="L48" s="4">
        <x:f t="shared" si="9"/>
        <x:v>73100</x:v>
      </x:c>
      <x:c r="M48" s="5">
        <x:f t="shared" si="10"/>
        <x:v>804100</x:v>
      </x:c>
      <x:c r="N48" s="6"/>
    </x:row>
    <x:row r="49" spans="1:14" ht="20.100000000000001" customHeight="1">
      <x:c r="A49" s="299"/>
      <x:c r="B49" s="3"/>
      <x:c r="C49" s="3"/>
      <x:c r="D49" s="4"/>
      <x:c r="E49" s="4">
        <x:f t="shared" si="8"/>
        <x:v>0</x:v>
      </x:c>
      <x:c r="F49" s="5">
        <x:f t="shared" si="7"/>
        <x:v>0</x:v>
      </x:c>
      <x:c r="G49" s="6"/>
      <x:c r="H49" s="299"/>
      <x:c r="I49" s="3" t="s">
        <x:v>1033</x:v>
      </x:c>
      <x:c r="J49" s="3" t="s">
        <x:v>1117</x:v>
      </x:c>
      <x:c r="K49" s="4">
        <x:v>8000000</x:v>
      </x:c>
      <x:c r="L49" s="4">
        <x:f t="shared" si="9"/>
        <x:v>800000</x:v>
      </x:c>
      <x:c r="M49" s="5">
        <x:f t="shared" si="10"/>
        <x:v>8800000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11">+INT(D50*0.1)</x:f>
        <x:v>0</x:v>
      </x:c>
      <x:c r="F50" s="5">
        <x:f t="shared" si="7"/>
        <x:v>0</x:v>
      </x:c>
      <x:c r="G50" s="6"/>
      <x:c r="H50" s="299"/>
      <x:c r="I50" s="3" t="s">
        <x:v>1039</x:v>
      </x:c>
      <x:c r="J50" s="3" t="s">
        <x:v>1109</x:v>
      </x:c>
      <x:c r="K50" s="4">
        <x:v>220670</x:v>
      </x:c>
      <x:c r="L50" s="4">
        <x:f t="shared" si="9"/>
        <x:v>22067</x:v>
      </x:c>
      <x:c r="M50" s="5">
        <x:f t="shared" si="10"/>
        <x:v>242737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11"/>
        <x:v>0</x:v>
      </x:c>
      <x:c r="F51" s="5">
        <x:f t="shared" si="7"/>
        <x:v>0</x:v>
      </x:c>
      <x:c r="G51" s="6"/>
      <x:c r="H51" s="299"/>
      <x:c r="I51" s="3" t="s">
        <x:v>846</x:v>
      </x:c>
      <x:c r="J51" s="3" t="s">
        <x:v>27</x:v>
      </x:c>
      <x:c r="K51" s="4">
        <x:v>1096055</x:v>
      </x:c>
      <x:c r="L51" s="4">
        <x:f>K51*0.1-2</x:f>
        <x:v>109603.5</x:v>
      </x:c>
      <x:c r="M51" s="5">
        <x:f t="shared" si="10"/>
        <x:v>1205658.5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11"/>
        <x:v>0</x:v>
      </x:c>
      <x:c r="F52" s="5">
        <x:f t="shared" si="7"/>
        <x:v>0</x:v>
      </x:c>
      <x:c r="G52" s="6"/>
      <x:c r="H52" s="299"/>
      <x:c r="I52" s="3" t="s">
        <x:v>1100</x:v>
      </x:c>
      <x:c r="J52" s="3" t="s">
        <x:v>1130</x:v>
      </x:c>
      <x:c r="K52" s="4">
        <x:v>600000</x:v>
      </x:c>
      <x:c r="L52" s="4">
        <x:f>+K52*0.1</x:f>
        <x:v>60000</x:v>
      </x:c>
      <x:c r="M52" s="5">
        <x:f>+K52+L52</x:f>
        <x:v>660000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1"/>
        <x:v>0</x:v>
      </x:c>
      <x:c r="F53" s="5">
        <x:f t="shared" si="7"/>
        <x:v>0</x:v>
      </x:c>
      <x:c r="G53" s="6"/>
      <x:c r="H53" s="299"/>
      <x:c r="I53" s="3"/>
      <x:c r="J53" s="3"/>
      <x:c r="K53" s="4"/>
      <x:c r="L53" s="4">
        <x:f t="shared" ref="L53:L58" si="12">+K53*0.1</x:f>
        <x:v>0</x:v>
      </x:c>
      <x:c r="M53" s="5">
        <x:f t="shared" si="10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1"/>
        <x:v>0</x:v>
      </x:c>
      <x:c r="F54" s="5">
        <x:f t="shared" si="7"/>
        <x:v>0</x:v>
      </x:c>
      <x:c r="G54" s="6"/>
      <x:c r="H54" s="299"/>
      <x:c r="I54" s="3"/>
      <x:c r="J54" s="3"/>
      <x:c r="K54" s="4"/>
      <x:c r="L54" s="4">
        <x:f t="shared" si="12"/>
        <x:v>0</x:v>
      </x:c>
      <x:c r="M54" s="5">
        <x:f t="shared" si="10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11"/>
        <x:v>0</x:v>
      </x:c>
      <x:c r="F55" s="5">
        <x:f t="shared" si="7"/>
        <x:v>0</x:v>
      </x:c>
      <x:c r="G55" s="6"/>
      <x:c r="H55" s="299"/>
      <x:c r="I55" s="3"/>
      <x:c r="J55" s="3"/>
      <x:c r="K55" s="4"/>
      <x:c r="L55" s="4">
        <x:f t="shared" si="12"/>
        <x:v>0</x:v>
      </x:c>
      <x:c r="M55" s="5">
        <x:f t="shared" si="10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1"/>
        <x:v>0</x:v>
      </x:c>
      <x:c r="F56" s="5">
        <x:f t="shared" si="7"/>
        <x:v>0</x:v>
      </x:c>
      <x:c r="G56" s="6"/>
      <x:c r="H56" s="299"/>
      <x:c r="I56" s="3"/>
      <x:c r="J56" s="3"/>
      <x:c r="K56" s="4"/>
      <x:c r="L56" s="4">
        <x:f t="shared" si="12"/>
        <x:v>0</x:v>
      </x:c>
      <x:c r="M56" s="5">
        <x:f t="shared" si="10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1"/>
        <x:v>0</x:v>
      </x:c>
      <x:c r="F57" s="5">
        <x:f t="shared" si="7"/>
        <x:v>0</x:v>
      </x:c>
      <x:c r="G57" s="6"/>
      <x:c r="H57" s="299"/>
      <x:c r="I57" s="3"/>
      <x:c r="J57" s="3"/>
      <x:c r="K57" s="4"/>
      <x:c r="L57" s="4">
        <x:f t="shared" si="12"/>
        <x:v>0</x:v>
      </x:c>
      <x:c r="M57" s="5">
        <x:f t="shared" si="10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 t="shared" si="12"/>
        <x:v>0</x:v>
      </x:c>
      <x:c r="M58" s="5">
        <x:f t="shared" si="10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2391400</x:v>
      </x:c>
      <x:c r="E59" s="9">
        <x:f>SUM(E44:E58)</x:f>
        <x:v>239140</x:v>
      </x:c>
      <x:c r="F59" s="10">
        <x:f>SUM(F44:F58)</x:f>
        <x:v>2630540</x:v>
      </x:c>
      <x:c r="G59" s="11"/>
      <x:c r="H59" s="7"/>
      <x:c r="I59" s="8"/>
      <x:c r="J59" s="8"/>
      <x:c r="K59" s="9">
        <x:f>SUM(K44:K58)</x:f>
        <x:v>37055765</x:v>
      </x:c>
      <x:c r="L59" s="9">
        <x:f>SUM(L44:L58)</x:f>
        <x:v>3705574.5</x:v>
      </x:c>
      <x:c r="M59" s="10">
        <x:f>SUM(M44:M58)</x:f>
        <x:v>40761339.5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1095</x:v>
      </x:c>
      <x:c r="D60" s="44">
        <x:v>10520000</x:v>
      </x:c>
      <x:c r="E60" s="44"/>
      <x:c r="F60" s="45">
        <x:f>+D60+E60</x:f>
        <x:v>10520000</x:v>
      </x:c>
      <x:c r="G60" s="37"/>
      <x:c r="H60" s="301" t="s">
        <x:v>153</x:v>
      </x:c>
      <x:c r="I60" s="3" t="s">
        <x:v>1677</x:v>
      </x:c>
      <x:c r="J60" s="3" t="s">
        <x:v>1096</x:v>
      </x:c>
      <x:c r="K60" s="4">
        <x:v>32360000</x:v>
      </x:c>
      <x:c r="L60" s="4"/>
      <x:c r="M60" s="5">
        <x:f>+K60+L60</x:f>
        <x:v>32360000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 t="s">
        <x:v>987</x:v>
      </x:c>
      <x:c r="J61" s="3" t="s">
        <x:v>1118</x:v>
      </x:c>
      <x:c r="K61" s="4">
        <x:v>5600000</x:v>
      </x:c>
      <x:c r="L61" s="4">
        <x:f>+K61*0.1</x:f>
        <x:v>560000</x:v>
      </x:c>
      <x:c r="M61" s="5">
        <x:f>+K61+L61</x:f>
        <x:v>6160000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10520000</x:v>
      </x:c>
      <x:c r="E64" s="9">
        <x:f>SUM(E60:E63)</x:f>
        <x:v>0</x:v>
      </x:c>
      <x:c r="F64" s="10">
        <x:f>SUM(F60:F63)</x:f>
        <x:v>10520000</x:v>
      </x:c>
      <x:c r="G64" s="11"/>
      <x:c r="H64" s="7"/>
      <x:c r="I64" s="8"/>
      <x:c r="J64" s="8"/>
      <x:c r="K64" s="9">
        <x:f>SUM(K60:K63)</x:f>
        <x:v>37960000</x:v>
      </x:c>
      <x:c r="L64" s="9">
        <x:f>SUM(L60:L63)</x:f>
        <x:v>560000</x:v>
      </x:c>
      <x:c r="M64" s="10">
        <x:f>SUM(M60:M63)</x:f>
        <x:v>38520000</x:v>
      </x:c>
      <x:c r="N64" s="11"/>
    </x:row>
    <x:row r="65" spans="1:14" ht="20.100000000000001" customHeight="1">
      <x:c r="A65" s="301" t="s">
        <x:v>187</x:v>
      </x:c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301" t="s">
        <x:v>187</x:v>
      </x:c>
      <x:c r="I65" s="3" t="s">
        <x:v>1040</x:v>
      </x:c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0</x:v>
      </x:c>
      <x:c r="E69" s="9">
        <x:f>SUM(E65:E68)</x:f>
        <x:v>0</x:v>
      </x:c>
      <x:c r="F69" s="10">
        <x:f>SUM(F65:F68)</x:f>
        <x:v>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1327710</x:v>
      </x:c>
      <x:c r="L70" s="4"/>
      <x:c r="M70" s="5">
        <x:f t="shared" ref="M70:M77" si="13">+K70+L70</x:f>
        <x:v>1327710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69450</x:v>
      </x:c>
      <x:c r="E71" s="4"/>
      <x:c r="F71" s="5">
        <x:f t="shared" ref="F71:F79" si="14">+D71+E71</x:f>
        <x:v>69450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3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/>
      <x:c r="E72" s="4">
        <x:f>+D72*0.1</x:f>
        <x:v>0</x:v>
      </x:c>
      <x:c r="F72" s="5">
        <x:f t="shared" si="14"/>
        <x:v>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3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4"/>
        <x:v>110000</x:v>
      </x:c>
      <x:c r="G73" s="6"/>
      <x:c r="H73" s="299"/>
      <x:c r="I73" s="3" t="s">
        <x:v>945</x:v>
      </x:c>
      <x:c r="J73" s="3" t="s">
        <x:v>962</x:v>
      </x:c>
      <x:c r="K73" s="4">
        <x:v>1188000</x:v>
      </x:c>
      <x:c r="L73" s="4">
        <x:f>+K73*0.1</x:f>
        <x:v>118800</x:v>
      </x:c>
      <x:c r="M73" s="5">
        <x:f t="shared" si="13"/>
        <x:v>1306800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295000</x:v>
      </x:c>
      <x:c r="E74" s="4">
        <x:f>D74*0.1</x:f>
        <x:v>29500</x:v>
      </x:c>
      <x:c r="F74" s="5">
        <x:f t="shared" si="14"/>
        <x:v>324500</x:v>
      </x:c>
      <x:c r="G74" s="6"/>
      <x:c r="H74" s="299"/>
      <x:c r="I74" s="3" t="s">
        <x:v>1038</x:v>
      </x:c>
      <x:c r="J74" s="3" t="s">
        <x:v>167</x:v>
      </x:c>
      <x:c r="K74" s="4">
        <x:v>60000</x:v>
      </x:c>
      <x:c r="L74" s="4">
        <x:f>+K74*0.1</x:f>
        <x:v>6000</x:v>
      </x:c>
      <x:c r="M74" s="5">
        <x:f t="shared" si="13"/>
        <x:v>66000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4"/>
        <x:v>0</x:v>
      </x:c>
      <x:c r="G75" s="6"/>
      <x:c r="H75" s="299"/>
      <x:c r="I75" s="3"/>
      <x:c r="J75" s="3"/>
      <x:c r="K75" s="4"/>
      <x:c r="L75" s="4"/>
      <x:c r="M75" s="5">
        <x:f t="shared" si="13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4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3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4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3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4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4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914450</x:v>
      </x:c>
      <x:c r="E80" s="9">
        <x:f>SUM(E70:E79)</x:f>
        <x:v>84500</x:v>
      </x:c>
      <x:c r="F80" s="10">
        <x:f>SUM(F70:F79)</x:f>
        <x:v>998950</x:v>
      </x:c>
      <x:c r="G80" s="11"/>
      <x:c r="H80" s="7"/>
      <x:c r="I80" s="8"/>
      <x:c r="J80" s="8"/>
      <x:c r="K80" s="9">
        <x:f>SUM(K70:K79)</x:f>
        <x:v>2983580</x:v>
      </x:c>
      <x:c r="L80" s="9">
        <x:f>SUM(L70:L79)</x:f>
        <x:v>128800</x:v>
      </x:c>
      <x:c r="M80" s="10">
        <x:f>SUM(M70:M79)</x:f>
        <x:v>3112380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13825850</x:v>
      </x:c>
      <x:c r="E81" s="14">
        <x:f>+E59+E64+E69+E80</x:f>
        <x:v>323640</x:v>
      </x:c>
      <x:c r="F81" s="15">
        <x:f>+F59+F64+F69+F80</x:f>
        <x:v>14149490</x:v>
      </x:c>
      <x:c r="G81" s="16"/>
      <x:c r="H81" s="12"/>
      <x:c r="I81" s="13"/>
      <x:c r="J81" s="13"/>
      <x:c r="K81" s="14">
        <x:f>+K59+K64+K69+K80</x:f>
        <x:v>77999345</x:v>
      </x:c>
      <x:c r="L81" s="14">
        <x:f>+L59+L64+L69+L80</x:f>
        <x:v>4394374.5</x:v>
      </x:c>
      <x:c r="M81" s="15">
        <x:f>+M59+M64+M69+M80</x:f>
        <x:v>82393719.5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-2652062</x:v>
      </x:c>
      <x:c r="E82" s="25">
        <x:f>+E43-E81</x:f>
        <x:v>502572</x:v>
      </x:c>
      <x:c r="F82" s="26">
        <x:f>+F43-F81</x:f>
        <x:v>-2149490</x:v>
      </x:c>
      <x:c r="G82" s="27"/>
      <x:c r="H82" s="23"/>
      <x:c r="I82" s="24"/>
      <x:c r="J82" s="24"/>
      <x:c r="K82" s="25">
        <x:f>+K43-K81</x:f>
        <x:v>68033655</x:v>
      </x:c>
      <x:c r="L82" s="25">
        <x:f>+L43-L81</x:f>
        <x:v>-2784374.5</x:v>
      </x:c>
      <x:c r="M82" s="26">
        <x:f>+M43-M81</x:f>
        <x:v>65249280.5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92" t="s">
        <x:v>144</x:v>
      </x:c>
      <x:c r="C84" s="92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92" t="s">
        <x:v>144</x:v>
      </x:c>
      <x:c r="J84" s="92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91" t="s">
        <x:v>151</x:v>
      </x:c>
      <x:c r="B85" s="38" t="s">
        <x:v>1679</x:v>
      </x:c>
      <x:c r="C85" s="38" t="s">
        <x:v>1030</x:v>
      </x:c>
      <x:c r="D85" s="39">
        <x:v>39579234</x:v>
      </x:c>
      <x:c r="E85" s="39">
        <x:v>420766</x:v>
      </x:c>
      <x:c r="F85" s="40">
        <x:f>+D85+E85</x:f>
        <x:v>40000000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34696269</x:v>
      </x:c>
      <x:c r="L85" s="39">
        <x:v>303731</x:v>
      </x:c>
      <x:c r="M85" s="40">
        <x:f>+K85+L85</x:f>
        <x:v>35000000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689</x:v>
      </x:c>
      <x:c r="D86" s="20">
        <x:v>619900</x:v>
      </x:c>
      <x:c r="E86" s="20">
        <x:f>+D86*0.1</x:f>
        <x:v>61990</x:v>
      </x:c>
      <x:c r="F86" s="21">
        <x:f>+D86+E86</x:f>
        <x:v>681890</x:v>
      </x:c>
      <x:c r="G86" s="22"/>
      <x:c r="H86" s="298" t="s">
        <x:v>148</x:v>
      </x:c>
      <x:c r="I86" s="19" t="s">
        <x:v>838</x:v>
      </x:c>
      <x:c r="J86" s="19" t="s">
        <x:v>372</x:v>
      </x:c>
      <x:c r="K86" s="20">
        <x:v>5269490</x:v>
      </x:c>
      <x:c r="L86" s="20">
        <x:f>+K86*0.1</x:f>
        <x:v>526949</x:v>
      </x:c>
      <x:c r="M86" s="21">
        <x:f t="shared" ref="M86:M100" si="15">+K86+L86</x:f>
        <x:v>5796439</x:v>
      </x:c>
      <x:c r="N86" s="22"/>
    </x:row>
    <x:row r="87" spans="1:14" ht="20.100000000000001" customHeight="1">
      <x:c r="A87" s="299"/>
      <x:c r="B87" s="3" t="s">
        <x:v>867</x:v>
      </x:c>
      <x:c r="C87" s="3" t="s">
        <x:v>118</x:v>
      </x:c>
      <x:c r="D87" s="4">
        <x:v>4013000</x:v>
      </x:c>
      <x:c r="E87" s="4">
        <x:f>+D87*0.1</x:f>
        <x:v>401300</x:v>
      </x:c>
      <x:c r="F87" s="5">
        <x:f>+D87+E87</x:f>
        <x:v>4414300</x:v>
      </x:c>
      <x:c r="G87" s="6"/>
      <x:c r="H87" s="299"/>
      <x:c r="I87" s="3" t="s">
        <x:v>867</x:v>
      </x:c>
      <x:c r="J87" s="3" t="s">
        <x:v>351</x:v>
      </x:c>
      <x:c r="K87" s="4">
        <x:v>5416800</x:v>
      </x:c>
      <x:c r="L87" s="4">
        <x:f>K87*0.1</x:f>
        <x:v>541680</x:v>
      </x:c>
      <x:c r="M87" s="5">
        <x:f t="shared" si="15"/>
        <x:v>5958480</x:v>
      </x:c>
      <x:c r="N87" s="6"/>
    </x:row>
    <x:row r="88" spans="1:14" ht="20.100000000000001" customHeight="1">
      <x:c r="A88" s="299"/>
      <x:c r="B88" s="3" t="s">
        <x:v>907</x:v>
      </x:c>
      <x:c r="C88" s="3"/>
      <x:c r="D88" s="4"/>
      <x:c r="E88" s="4">
        <x:f>+D88*0.1</x:f>
        <x:v>0</x:v>
      </x:c>
      <x:c r="F88" s="5">
        <x:f>+D88+E88</x:f>
        <x:v>0</x:v>
      </x:c>
      <x:c r="G88" s="6"/>
      <x:c r="H88" s="299"/>
      <x:c r="I88" s="3" t="s">
        <x:v>907</x:v>
      </x:c>
      <x:c r="J88" s="3"/>
      <x:c r="K88" s="4"/>
      <x:c r="L88" s="4">
        <x:f t="shared" ref="L88:L100" si="16">+K88*0.1</x:f>
        <x:v>0</x:v>
      </x:c>
      <x:c r="M88" s="5">
        <x:f t="shared" si="15"/>
        <x:v>0</x:v>
      </x:c>
      <x:c r="N88" s="6"/>
    </x:row>
    <x:row r="89" spans="1:14" ht="20.100000000000001" customHeight="1">
      <x:c r="A89" s="299"/>
      <x:c r="B89" s="3" t="s">
        <x:v>840</x:v>
      </x:c>
      <x:c r="C89" s="3"/>
      <x:c r="D89" s="4"/>
      <x:c r="E89" s="4">
        <x:f>+INT(D89*0.1)</x:f>
        <x:v>0</x:v>
      </x:c>
      <x:c r="F89" s="5">
        <x:f t="shared" ref="F89:F99" si="17">+D89+E89</x:f>
        <x:v>0</x:v>
      </x:c>
      <x:c r="G89" s="6"/>
      <x:c r="H89" s="299"/>
      <x:c r="I89" s="3" t="s">
        <x:v>1058</x:v>
      </x:c>
      <x:c r="J89" s="3" t="s">
        <x:v>387</x:v>
      </x:c>
      <x:c r="K89" s="4">
        <x:v>2331700</x:v>
      </x:c>
      <x:c r="L89" s="4">
        <x:f t="shared" si="16"/>
        <x:v>233170</x:v>
      </x:c>
      <x:c r="M89" s="5">
        <x:f t="shared" si="15"/>
        <x:v>2564870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ref="E90:E99" si="18">+INT(D90*0.1)</x:f>
        <x:v>0</x:v>
      </x:c>
      <x:c r="F90" s="5">
        <x:f t="shared" si="17"/>
        <x:v>0</x:v>
      </x:c>
      <x:c r="G90" s="6"/>
      <x:c r="H90" s="299"/>
      <x:c r="I90" s="3" t="s">
        <x:v>976</x:v>
      </x:c>
      <x:c r="J90" s="3" t="s">
        <x:v>685</x:v>
      </x:c>
      <x:c r="K90" s="4">
        <x:v>1116400</x:v>
      </x:c>
      <x:c r="L90" s="4">
        <x:f>+K90*0.1</x:f>
        <x:v>111640</x:v>
      </x:c>
      <x:c r="M90" s="5">
        <x:f t="shared" si="15"/>
        <x:v>1228040</x:v>
      </x:c>
      <x:c r="N90" s="6"/>
    </x:row>
    <x:row r="91" spans="1:14" ht="20.100000000000001" customHeight="1">
      <x:c r="A91" s="299"/>
      <x:c r="B91" s="3" t="s">
        <x:v>967</x:v>
      </x:c>
      <x:c r="C91" s="3"/>
      <x:c r="D91" s="4"/>
      <x:c r="E91" s="4">
        <x:f t="shared" si="18"/>
        <x:v>0</x:v>
      </x:c>
      <x:c r="F91" s="5">
        <x:f t="shared" si="17"/>
        <x:v>0</x:v>
      </x:c>
      <x:c r="G91" s="6"/>
      <x:c r="H91" s="299"/>
      <x:c r="I91" s="3" t="s">
        <x:v>967</x:v>
      </x:c>
      <x:c r="J91" s="3" t="s">
        <x:v>170</x:v>
      </x:c>
      <x:c r="K91" s="4">
        <x:v>88000</x:v>
      </x:c>
      <x:c r="L91" s="4">
        <x:f>+K91*0.1</x:f>
        <x:v>8800</x:v>
      </x:c>
      <x:c r="M91" s="5">
        <x:f t="shared" si="15"/>
        <x:v>96800</x:v>
      </x:c>
      <x:c r="N91" s="6"/>
    </x:row>
    <x:row r="92" spans="1:14" ht="20.100000000000001" customHeight="1">
      <x:c r="A92" s="299"/>
      <x:c r="B92" s="3" t="s">
        <x:v>846</x:v>
      </x:c>
      <x:c r="C92" s="3" t="s">
        <x:v>1101</x:v>
      </x:c>
      <x:c r="D92" s="4">
        <x:v>1731600</x:v>
      </x:c>
      <x:c r="E92" s="4">
        <x:f t="shared" si="18"/>
        <x:v>173160</x:v>
      </x:c>
      <x:c r="F92" s="5">
        <x:f t="shared" si="17"/>
        <x:v>1904760</x:v>
      </x:c>
      <x:c r="G92" s="6"/>
      <x:c r="H92" s="299"/>
      <x:c r="I92" s="3" t="s">
        <x:v>846</x:v>
      </x:c>
      <x:c r="J92" s="3" t="s">
        <x:v>1121</x:v>
      </x:c>
      <x:c r="K92" s="4">
        <x:v>3437660</x:v>
      </x:c>
      <x:c r="L92" s="4">
        <x:f>+K92*0.1</x:f>
        <x:v>343766</x:v>
      </x:c>
      <x:c r="M92" s="5">
        <x:f>+K92+L92</x:f>
        <x:v>3781426</x:v>
      </x:c>
      <x:c r="N92" s="6"/>
    </x:row>
    <x:row r="93" spans="1:14" ht="20.100000000000001" customHeight="1">
      <x:c r="A93" s="299"/>
      <x:c r="B93" s="3" t="s">
        <x:v>846</x:v>
      </x:c>
      <x:c r="C93" s="3" t="s">
        <x:v>1094</x:v>
      </x:c>
      <x:c r="D93" s="4">
        <x:v>560000</x:v>
      </x:c>
      <x:c r="E93" s="4">
        <x:f t="shared" si="18"/>
        <x:v>56000</x:v>
      </x:c>
      <x:c r="F93" s="5">
        <x:f t="shared" si="17"/>
        <x:v>616000</x:v>
      </x:c>
      <x:c r="G93" s="6"/>
      <x:c r="H93" s="299"/>
      <x:c r="I93" s="3" t="s">
        <x:v>938</x:v>
      </x:c>
      <x:c r="J93" s="3" t="s">
        <x:v>953</x:v>
      </x:c>
      <x:c r="K93" s="4">
        <x:v>460000</x:v>
      </x:c>
      <x:c r="L93" s="4">
        <x:f>+K93*0.1</x:f>
        <x:v>46000</x:v>
      </x:c>
      <x:c r="M93" s="5">
        <x:f>+K93+L93</x:f>
        <x:v>506000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8"/>
        <x:v>0</x:v>
      </x:c>
      <x:c r="F94" s="5">
        <x:f t="shared" si="17"/>
        <x:v>0</x:v>
      </x:c>
      <x:c r="G94" s="6"/>
      <x:c r="H94" s="299"/>
      <x:c r="I94" s="3"/>
      <x:c r="J94" s="3"/>
      <x:c r="K94" s="4"/>
      <x:c r="L94" s="4">
        <x:f t="shared" si="16"/>
        <x:v>0</x:v>
      </x:c>
      <x:c r="M94" s="5">
        <x:f t="shared" si="15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8"/>
        <x:v>0</x:v>
      </x:c>
      <x:c r="F95" s="5">
        <x:f t="shared" si="17"/>
        <x:v>0</x:v>
      </x:c>
      <x:c r="G95" s="6"/>
      <x:c r="H95" s="299"/>
      <x:c r="I95" s="3"/>
      <x:c r="J95" s="3"/>
      <x:c r="K95" s="4"/>
      <x:c r="L95" s="4">
        <x:f t="shared" si="16"/>
        <x:v>0</x:v>
      </x:c>
      <x:c r="M95" s="5">
        <x:f t="shared" si="15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8"/>
        <x:v>0</x:v>
      </x:c>
      <x:c r="F96" s="5">
        <x:f t="shared" si="17"/>
        <x:v>0</x:v>
      </x:c>
      <x:c r="G96" s="6"/>
      <x:c r="H96" s="299"/>
      <x:c r="I96" s="3"/>
      <x:c r="J96" s="3"/>
      <x:c r="K96" s="4"/>
      <x:c r="L96" s="4">
        <x:f t="shared" si="16"/>
        <x:v>0</x:v>
      </x:c>
      <x:c r="M96" s="5">
        <x:f t="shared" si="15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8"/>
        <x:v>0</x:v>
      </x:c>
      <x:c r="F97" s="5">
        <x:f t="shared" si="17"/>
        <x:v>0</x:v>
      </x:c>
      <x:c r="G97" s="6"/>
      <x:c r="H97" s="299"/>
      <x:c r="I97" s="3"/>
      <x:c r="J97" s="3"/>
      <x:c r="K97" s="4"/>
      <x:c r="L97" s="4">
        <x:f t="shared" si="16"/>
        <x:v>0</x:v>
      </x:c>
      <x:c r="M97" s="5">
        <x:f t="shared" si="15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8"/>
        <x:v>0</x:v>
      </x:c>
      <x:c r="F98" s="5">
        <x:f t="shared" si="17"/>
        <x:v>0</x:v>
      </x:c>
      <x:c r="G98" s="6"/>
      <x:c r="H98" s="299"/>
      <x:c r="I98" s="3"/>
      <x:c r="J98" s="3"/>
      <x:c r="K98" s="4"/>
      <x:c r="L98" s="4">
        <x:f t="shared" si="16"/>
        <x:v>0</x:v>
      </x:c>
      <x:c r="M98" s="5">
        <x:f t="shared" si="15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8"/>
        <x:v>0</x:v>
      </x:c>
      <x:c r="F99" s="5">
        <x:f t="shared" si="17"/>
        <x:v>0</x:v>
      </x:c>
      <x:c r="G99" s="6"/>
      <x:c r="H99" s="299"/>
      <x:c r="I99" s="3"/>
      <x:c r="J99" s="3"/>
      <x:c r="K99" s="4"/>
      <x:c r="L99" s="4">
        <x:f t="shared" si="16"/>
        <x:v>0</x:v>
      </x:c>
      <x:c r="M99" s="5">
        <x:f t="shared" si="15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6"/>
        <x:v>0</x:v>
      </x:c>
      <x:c r="M100" s="5">
        <x:f t="shared" si="15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6924500</x:v>
      </x:c>
      <x:c r="E101" s="9">
        <x:f>SUM(E86:E100)</x:f>
        <x:v>692450</x:v>
      </x:c>
      <x:c r="F101" s="10">
        <x:f>SUM(F86:F100)</x:f>
        <x:v>7616950</x:v>
      </x:c>
      <x:c r="G101" s="11"/>
      <x:c r="H101" s="7"/>
      <x:c r="I101" s="8"/>
      <x:c r="J101" s="8"/>
      <x:c r="K101" s="9">
        <x:f>SUM(K86:K100)</x:f>
        <x:v>18120050</x:v>
      </x:c>
      <x:c r="L101" s="9">
        <x:f>SUM(L86:L100)</x:f>
        <x:v>1812005</x:v>
      </x:c>
      <x:c r="M101" s="10">
        <x:f>SUM(M86:M100)</x:f>
        <x:v>19932055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1114</x:v>
      </x:c>
      <x:c r="D102" s="44">
        <x:v>18550000</x:v>
      </x:c>
      <x:c r="E102" s="44"/>
      <x:c r="F102" s="45">
        <x:f>+D102+E102</x:f>
        <x:v>18550000</x:v>
      </x:c>
      <x:c r="G102" s="37"/>
      <x:c r="H102" s="301" t="s">
        <x:v>153</x:v>
      </x:c>
      <x:c r="I102" s="3" t="s">
        <x:v>1677</x:v>
      </x:c>
      <x:c r="J102" s="3" t="s">
        <x:v>1129</x:v>
      </x:c>
      <x:c r="K102" s="4">
        <x:v>16775000</x:v>
      </x:c>
      <x:c r="L102" s="4"/>
      <x:c r="M102" s="5">
        <x:f>+K102+L102</x:f>
        <x:v>16775000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 t="s">
        <x:v>194</x:v>
      </x:c>
      <x:c r="J103" s="3" t="s">
        <x:v>195</x:v>
      </x:c>
      <x:c r="K103" s="4">
        <x:v>5400000</x:v>
      </x:c>
      <x:c r="L103" s="4"/>
      <x:c r="M103" s="5">
        <x:f>+K103+L103</x:f>
        <x:v>5400000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18550000</x:v>
      </x:c>
      <x:c r="E106" s="9">
        <x:f>SUM(E102:E105)</x:f>
        <x:v>0</x:v>
      </x:c>
      <x:c r="F106" s="10">
        <x:f>SUM(F102:F105)</x:f>
        <x:v>18550000</x:v>
      </x:c>
      <x:c r="G106" s="11"/>
      <x:c r="H106" s="7"/>
      <x:c r="I106" s="8"/>
      <x:c r="J106" s="8"/>
      <x:c r="K106" s="9">
        <x:f>SUM(K102:K105)</x:f>
        <x:v>22175000</x:v>
      </x:c>
      <x:c r="L106" s="9">
        <x:f>SUM(L102:L105)</x:f>
        <x:v>0</x:v>
      </x:c>
      <x:c r="M106" s="10">
        <x:f>SUM(M102:M105)</x:f>
        <x:v>22175000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 t="s">
        <x:v>1089</x:v>
      </x:c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898400</x:v>
      </x:c>
      <x:c r="L112" s="4"/>
      <x:c r="M112" s="5">
        <x:f t="shared" ref="M112:M119" si="19">+K112+L112</x:f>
        <x:v>898400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1756</x:v>
      </x:c>
      <x:c r="K113" s="4">
        <x:v>100000</x:v>
      </x:c>
      <x:c r="L113" s="4">
        <x:f>+K113*0.1</x:f>
        <x:v>10000</x:v>
      </x:c>
      <x:c r="M113" s="5">
        <x:f t="shared" si="19"/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5000</x:v>
      </x:c>
      <x:c r="E114" s="4">
        <x:f>+D114*0.1</x:f>
        <x:v>500</x:v>
      </x:c>
      <x:c r="F114" s="5">
        <x:f>+D114+E114</x:f>
        <x:v>5500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19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492000</x:v>
      </x:c>
      <x:c r="E115" s="4">
        <x:f>+D115*0.1</x:f>
        <x:v>49200</x:v>
      </x:c>
      <x:c r="F115" s="5">
        <x:f t="shared" ref="F115:F121" si="20">+D115+E115</x:f>
        <x:v>541200</x:v>
      </x:c>
      <x:c r="G115" s="6"/>
      <x:c r="H115" s="299"/>
      <x:c r="I115" s="3" t="s">
        <x:v>633</x:v>
      </x:c>
      <x:c r="J115" s="3" t="s">
        <x:v>962</x:v>
      </x:c>
      <x:c r="K115" s="4">
        <x:v>732000</x:v>
      </x:c>
      <x:c r="L115" s="4">
        <x:f>+K115*0.1</x:f>
        <x:v>73200</x:v>
      </x:c>
      <x:c r="M115" s="5">
        <x:f t="shared" si="19"/>
        <x:v>805200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1326150</x:v>
      </x:c>
      <x:c r="E116" s="4"/>
      <x:c r="F116" s="5">
        <x:f t="shared" si="20"/>
        <x:v>1326150</x:v>
      </x:c>
      <x:c r="G116" s="6"/>
      <x:c r="H116" s="299"/>
      <x:c r="I116" s="3" t="s">
        <x:v>1049</x:v>
      </x:c>
      <x:c r="J116" s="3" t="s">
        <x:v>167</x:v>
      </x:c>
      <x:c r="K116" s="4">
        <x:v>60000</x:v>
      </x:c>
      <x:c r="L116" s="4">
        <x:f>+K116*0.1</x:f>
        <x:v>6000</x:v>
      </x:c>
      <x:c r="M116" s="5">
        <x:f t="shared" si="19"/>
        <x:v>66000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20"/>
        <x:v>110000</x:v>
      </x:c>
      <x:c r="G117" s="6"/>
      <x:c r="H117" s="299"/>
      <x:c r="I117" s="3"/>
      <x:c r="J117" s="3"/>
      <x:c r="K117" s="4"/>
      <x:c r="L117" s="4"/>
      <x:c r="M117" s="5">
        <x:f t="shared" si="19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 t="shared" si="20"/>
        <x:v>0</x:v>
      </x:c>
      <x:c r="G118" s="6"/>
      <x:c r="H118" s="299"/>
      <x:c r="I118" s="3"/>
      <x:c r="J118" s="3"/>
      <x:c r="K118" s="4"/>
      <x:c r="L118" s="4"/>
      <x:c r="M118" s="5">
        <x:f t="shared" si="19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20"/>
        <x:v>0</x:v>
      </x:c>
      <x:c r="G119" s="6"/>
      <x:c r="H119" s="299"/>
      <x:c r="I119" s="3"/>
      <x:c r="J119" s="3"/>
      <x:c r="K119" s="4"/>
      <x:c r="L119" s="4"/>
      <x:c r="M119" s="5">
        <x:f t="shared" si="19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20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20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2471150</x:v>
      </x:c>
      <x:c r="E122" s="9">
        <x:f>SUM(E112:E121)</x:f>
        <x:v>109700</x:v>
      </x:c>
      <x:c r="F122" s="10">
        <x:f>SUM(F112:F121)</x:f>
        <x:v>2580850</x:v>
      </x:c>
      <x:c r="G122" s="11"/>
      <x:c r="H122" s="7"/>
      <x:c r="I122" s="8"/>
      <x:c r="J122" s="8"/>
      <x:c r="K122" s="9">
        <x:f>SUM(K112:K121)</x:f>
        <x:v>1870400</x:v>
      </x:c>
      <x:c r="L122" s="9">
        <x:f>SUM(L112:L121)</x:f>
        <x:v>97200</x:v>
      </x:c>
      <x:c r="M122" s="10">
        <x:f>SUM(M112:M121)</x:f>
        <x:v>1967600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27945650</x:v>
      </x:c>
      <x:c r="E123" s="14">
        <x:f>+E101+E106+E111+E122</x:f>
        <x:v>802150</x:v>
      </x:c>
      <x:c r="F123" s="15">
        <x:f>+F101+F106+F111+F122</x:f>
        <x:v>28747800</x:v>
      </x:c>
      <x:c r="G123" s="16"/>
      <x:c r="H123" s="12"/>
      <x:c r="I123" s="13"/>
      <x:c r="J123" s="13"/>
      <x:c r="K123" s="14">
        <x:f>+K101+K106+K111+K122</x:f>
        <x:v>42165450</x:v>
      </x:c>
      <x:c r="L123" s="14">
        <x:f>+L101+L106+L111+L122</x:f>
        <x:v>1909205</x:v>
      </x:c>
      <x:c r="M123" s="15">
        <x:f>+M101+M106+M111+M122</x:f>
        <x:v>44074655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11633584</x:v>
      </x:c>
      <x:c r="E124" s="25">
        <x:f>+E85-E123</x:f>
        <x:v>-381384</x:v>
      </x:c>
      <x:c r="F124" s="26">
        <x:f>+F85-F123</x:f>
        <x:v>11252200</x:v>
      </x:c>
      <x:c r="G124" s="27"/>
      <x:c r="H124" s="23"/>
      <x:c r="I124" s="24"/>
      <x:c r="J124" s="24"/>
      <x:c r="K124" s="25">
        <x:f>+K85-K123</x:f>
        <x:v>-7469181</x:v>
      </x:c>
      <x:c r="L124" s="25">
        <x:f>+L85-L123</x:f>
        <x:v>-1605474</x:v>
      </x:c>
      <x:c r="M124" s="26">
        <x:f>+M85-M123</x:f>
        <x:v>-9074655</x:v>
      </x:c>
      <x:c r="N124" s="27"/>
    </x:row>
    <x:row r="125" spans="1:14" ht="20.10000000000000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customHeight="1">
      <x:c r="A126" s="29" t="s">
        <x:v>147</x:v>
      </x:c>
      <x:c r="B126" s="92" t="s">
        <x:v>144</x:v>
      </x:c>
      <x:c r="C126" s="92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92" t="s">
        <x:v>144</x:v>
      </x:c>
      <x:c r="J126" s="92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customHeight="1">
      <x:c r="A127" s="91" t="s">
        <x:v>151</x:v>
      </x:c>
      <x:c r="B127" s="38" t="s">
        <x:v>1679</x:v>
      </x:c>
      <x:c r="C127" s="38" t="s">
        <x:v>1076</x:v>
      </x:c>
      <x:c r="D127" s="39">
        <x:v>24146000</x:v>
      </x:c>
      <x:c r="E127" s="39">
        <x:v>2414600</x:v>
      </x:c>
      <x:c r="F127" s="40">
        <x:f t="shared" ref="F127:F132" si="21">+D127+E127</x:f>
        <x:v>26560600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customHeight="1">
      <x:c r="A128" s="298" t="s">
        <x:v>148</x:v>
      </x:c>
      <x:c r="B128" s="54" t="s">
        <x:v>838</x:v>
      </x:c>
      <x:c r="C128" s="54" t="s">
        <x:v>205</x:v>
      </x:c>
      <x:c r="D128" s="93">
        <x:v>90000</x:v>
      </x:c>
      <x:c r="E128" s="93">
        <x:f>+D128*0.1</x:f>
        <x:v>9000</x:v>
      </x:c>
      <x:c r="F128" s="94">
        <x:f t="shared" si="21"/>
        <x:v>99000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2">+K128+L128</x:f>
        <x:v>0</x:v>
      </x:c>
      <x:c r="N128" s="22"/>
    </x:row>
    <x:row r="129" spans="1:14" ht="20.100000000000001" customHeight="1">
      <x:c r="A129" s="299"/>
      <x:c r="B129" s="3" t="s">
        <x:v>1086</x:v>
      </x:c>
      <x:c r="C129" s="3" t="s">
        <x:v>1112</x:v>
      </x:c>
      <x:c r="D129" s="4">
        <x:v>2880000</x:v>
      </x:c>
      <x:c r="E129" s="4">
        <x:f>+D129*0.1</x:f>
        <x:v>288000</x:v>
      </x:c>
      <x:c r="F129" s="5">
        <x:f t="shared" si="21"/>
        <x:v>3168000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2"/>
        <x:v>0</x:v>
      </x:c>
      <x:c r="N129" s="6"/>
    </x:row>
    <x:row r="130" spans="1:14" ht="20.100000000000001" customHeight="1">
      <x:c r="A130" s="299"/>
      <x:c r="B130" s="3" t="s">
        <x:v>1086</x:v>
      </x:c>
      <x:c r="C130" s="3" t="s">
        <x:v>1112</x:v>
      </x:c>
      <x:c r="D130" s="4">
        <x:v>400000</x:v>
      </x:c>
      <x:c r="E130" s="4">
        <x:f>+D130*0.1</x:f>
        <x:v>40000</x:v>
      </x:c>
      <x:c r="F130" s="5">
        <x:f t="shared" si="21"/>
        <x:v>440000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2"/>
        <x:v>0</x:v>
      </x:c>
      <x:c r="N130" s="6"/>
    </x:row>
    <x:row r="131" spans="1:14" ht="20.100000000000001" customHeight="1">
      <x:c r="A131" s="299"/>
      <x:c r="B131" s="3" t="s">
        <x:v>21</x:v>
      </x:c>
      <x:c r="C131" s="3" t="s">
        <x:v>691</x:v>
      </x:c>
      <x:c r="D131" s="4">
        <x:v>2543200</x:v>
      </x:c>
      <x:c r="E131" s="4">
        <x:f>+D131*0.1</x:f>
        <x:v>254320</x:v>
      </x:c>
      <x:c r="F131" s="5">
        <x:f t="shared" si="21"/>
        <x:v>2797520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2"/>
        <x:v>0</x:v>
      </x:c>
      <x:c r="N131" s="6"/>
    </x:row>
    <x:row r="132" spans="1:14" ht="20.100000000000001" customHeight="1">
      <x:c r="A132" s="299"/>
      <x:c r="B132" s="3" t="s">
        <x:v>846</x:v>
      </x:c>
      <x:c r="C132" s="3" t="s">
        <x:v>1104</x:v>
      </x:c>
      <x:c r="D132" s="4">
        <x:v>899275</x:v>
      </x:c>
      <x:c r="E132" s="4">
        <x:f>+INT(D132*0.1)</x:f>
        <x:v>89927</x:v>
      </x:c>
      <x:c r="F132" s="5">
        <x:f t="shared" si="21"/>
        <x:v>989202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2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 t="shared" ref="E133:E141" si="23">+INT(D133*0.1)</x:f>
        <x:v>0</x:v>
      </x:c>
      <x:c r="F133" s="5">
        <x:f t="shared" ref="F133:F141" si="24">+D133+E133</x:f>
        <x:v>0</x:v>
      </x:c>
      <x:c r="G133" s="6"/>
      <x:c r="H133" s="299"/>
      <x:c r="I133" s="3"/>
      <x:c r="J133" s="3"/>
      <x:c r="K133" s="4"/>
      <x:c r="L133" s="4">
        <x:f t="shared" ref="L133:L142" si="25">+K133*0.1</x:f>
        <x:v>0</x:v>
      </x:c>
      <x:c r="M133" s="5">
        <x:f t="shared" si="22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 t="shared" si="23"/>
        <x:v>0</x:v>
      </x:c>
      <x:c r="F134" s="5">
        <x:f t="shared" si="24"/>
        <x:v>0</x:v>
      </x:c>
      <x:c r="G134" s="6"/>
      <x:c r="H134" s="299"/>
      <x:c r="I134" s="3"/>
      <x:c r="J134" s="3"/>
      <x:c r="K134" s="4"/>
      <x:c r="L134" s="4">
        <x:f t="shared" si="25"/>
        <x:v>0</x:v>
      </x:c>
      <x:c r="M134" s="5">
        <x:f t="shared" si="22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si="23"/>
        <x:v>0</x:v>
      </x:c>
      <x:c r="F135" s="5">
        <x:f t="shared" si="24"/>
        <x:v>0</x:v>
      </x:c>
      <x:c r="G135" s="6"/>
      <x:c r="H135" s="299"/>
      <x:c r="I135" s="3"/>
      <x:c r="J135" s="3"/>
      <x:c r="K135" s="4"/>
      <x:c r="L135" s="4">
        <x:f t="shared" si="25"/>
        <x:v>0</x:v>
      </x:c>
      <x:c r="M135" s="5">
        <x:f t="shared" si="22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3"/>
        <x:v>0</x:v>
      </x:c>
      <x:c r="F136" s="5">
        <x:f t="shared" si="24"/>
        <x:v>0</x:v>
      </x:c>
      <x:c r="G136" s="6"/>
      <x:c r="H136" s="299"/>
      <x:c r="I136" s="3"/>
      <x:c r="J136" s="3"/>
      <x:c r="K136" s="4"/>
      <x:c r="L136" s="4">
        <x:f t="shared" si="25"/>
        <x:v>0</x:v>
      </x:c>
      <x:c r="M136" s="5">
        <x:f t="shared" si="22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3"/>
        <x:v>0</x:v>
      </x:c>
      <x:c r="F137" s="5">
        <x:f t="shared" si="24"/>
        <x:v>0</x:v>
      </x:c>
      <x:c r="G137" s="6"/>
      <x:c r="H137" s="299"/>
      <x:c r="I137" s="3"/>
      <x:c r="J137" s="3"/>
      <x:c r="K137" s="4"/>
      <x:c r="L137" s="4">
        <x:f t="shared" si="25"/>
        <x:v>0</x:v>
      </x:c>
      <x:c r="M137" s="5">
        <x:f t="shared" si="22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>
        <x:f t="shared" si="23"/>
        <x:v>0</x:v>
      </x:c>
      <x:c r="F138" s="5">
        <x:f t="shared" si="24"/>
        <x:v>0</x:v>
      </x:c>
      <x:c r="G138" s="6"/>
      <x:c r="H138" s="299"/>
      <x:c r="I138" s="3"/>
      <x:c r="J138" s="3"/>
      <x:c r="K138" s="4"/>
      <x:c r="L138" s="4">
        <x:f t="shared" si="25"/>
        <x:v>0</x:v>
      </x:c>
      <x:c r="M138" s="5">
        <x:f t="shared" si="22"/>
        <x:v>0</x:v>
      </x:c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3"/>
        <x:v>0</x:v>
      </x:c>
      <x:c r="F139" s="5">
        <x:f t="shared" si="24"/>
        <x:v>0</x:v>
      </x:c>
      <x:c r="G139" s="6"/>
      <x:c r="H139" s="299"/>
      <x:c r="I139" s="3"/>
      <x:c r="J139" s="3"/>
      <x:c r="K139" s="4"/>
      <x:c r="L139" s="4">
        <x:f t="shared" si="25"/>
        <x:v>0</x:v>
      </x:c>
      <x:c r="M139" s="5">
        <x:f t="shared" si="22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3"/>
        <x:v>0</x:v>
      </x:c>
      <x:c r="F140" s="5">
        <x:f t="shared" si="24"/>
        <x:v>0</x:v>
      </x:c>
      <x:c r="G140" s="6"/>
      <x:c r="H140" s="299"/>
      <x:c r="I140" s="3"/>
      <x:c r="J140" s="3"/>
      <x:c r="K140" s="4"/>
      <x:c r="L140" s="4">
        <x:f t="shared" si="25"/>
        <x:v>0</x:v>
      </x:c>
      <x:c r="M140" s="5">
        <x:f t="shared" si="22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3"/>
        <x:v>0</x:v>
      </x:c>
      <x:c r="F141" s="5">
        <x:f t="shared" si="24"/>
        <x:v>0</x:v>
      </x:c>
      <x:c r="G141" s="6"/>
      <x:c r="H141" s="299"/>
      <x:c r="I141" s="3"/>
      <x:c r="J141" s="3"/>
      <x:c r="K141" s="4"/>
      <x:c r="L141" s="4">
        <x:f t="shared" si="25"/>
        <x:v>0</x:v>
      </x:c>
      <x:c r="M141" s="5">
        <x:f t="shared" si="22"/>
        <x:v>0</x:v>
      </x:c>
      <x:c r="N141" s="6"/>
    </x:row>
    <x:row r="142" spans="1:14" ht="20.10000000000000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5"/>
        <x:v>0</x:v>
      </x:c>
      <x:c r="M142" s="5">
        <x:f t="shared" si="22"/>
        <x:v>0</x:v>
      </x:c>
      <x:c r="N142" s="6"/>
    </x:row>
    <x:row r="143" spans="1:14" ht="20.100000000000001" customHeight="1">
      <x:c r="A143" s="7" t="s">
        <x:v>155</x:v>
      </x:c>
      <x:c r="B143" s="8"/>
      <x:c r="C143" s="8"/>
      <x:c r="D143" s="9">
        <x:f>SUM(D128:D142)</x:f>
        <x:v>6812475</x:v>
      </x:c>
      <x:c r="E143" s="9">
        <x:f>SUM(E128:E142)</x:f>
        <x:v>681247</x:v>
      </x:c>
      <x:c r="F143" s="10">
        <x:f>SUM(F128:F142)</x:f>
        <x:v>7493722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customHeight="1">
      <x:c r="A144" s="301" t="s">
        <x:v>153</x:v>
      </x:c>
      <x:c r="B144" s="3" t="s">
        <x:v>1677</x:v>
      </x:c>
      <x:c r="C144" s="3"/>
      <x:c r="D144" s="44">
        <x:v>1990000</x:v>
      </x:c>
      <x:c r="E144" s="44"/>
      <x:c r="F144" s="45">
        <x:f>+D144+E144</x:f>
        <x:v>1990000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7" t="s">
        <x:v>155</x:v>
      </x:c>
      <x:c r="B148" s="8"/>
      <x:c r="C148" s="8"/>
      <x:c r="D148" s="9">
        <x:f>SUM(D144:D147)</x:f>
        <x:v>1990000</x:v>
      </x:c>
      <x:c r="E148" s="9">
        <x:f>SUM(E144:E147)</x:f>
        <x:v>0</x:v>
      </x:c>
      <x:c r="F148" s="10">
        <x:f>SUM(F144:F147)</x:f>
        <x:v>1990000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customHeight="1">
      <x:c r="A154" s="301" t="s">
        <x:v>149</x:v>
      </x:c>
      <x:c r="B154" s="3" t="s">
        <x:v>177</x:v>
      </x:c>
      <x:c r="C154" s="3" t="s">
        <x:v>837</x:v>
      </x:c>
      <x:c r="D154" s="4">
        <x:v>146100</x:v>
      </x:c>
      <x:c r="E154" s="4"/>
      <x:c r="F154" s="5">
        <x:f>+D154+E154</x:f>
        <x:v>146100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6">+K154+L154</x:f>
        <x:v>0</x:v>
      </x:c>
      <x:c r="N154" s="6"/>
    </x:row>
    <x:row r="155" spans="1:14" ht="20.10000000000000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6"/>
        <x:v>0</x:v>
      </x:c>
      <x:c r="N155" s="6"/>
    </x:row>
    <x:row r="156" spans="1:14" ht="20.10000000000000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6"/>
        <x:v>0</x:v>
      </x:c>
      <x:c r="N156" s="6"/>
    </x:row>
    <x:row r="157" spans="1:14" ht="20.10000000000000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7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6"/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 t="shared" si="27"/>
        <x:v>0</x:v>
      </x:c>
      <x:c r="G158" s="6"/>
      <x:c r="H158" s="299"/>
      <x:c r="I158" s="3"/>
      <x:c r="J158" s="3"/>
      <x:c r="K158" s="4"/>
      <x:c r="L158" s="4">
        <x:f t="shared" ref="L158:L163" si="28">+K158*0.1</x:f>
        <x:v>0</x:v>
      </x:c>
      <x:c r="M158" s="5">
        <x:f t="shared" si="26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7"/>
        <x:v>0</x:v>
      </x:c>
      <x:c r="G159" s="6"/>
      <x:c r="H159" s="299"/>
      <x:c r="I159" s="3"/>
      <x:c r="J159" s="3"/>
      <x:c r="K159" s="4"/>
      <x:c r="L159" s="4">
        <x:f t="shared" si="28"/>
        <x:v>0</x:v>
      </x:c>
      <x:c r="M159" s="5">
        <x:f t="shared" si="26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7"/>
        <x:v>0</x:v>
      </x:c>
      <x:c r="G160" s="6"/>
      <x:c r="H160" s="299"/>
      <x:c r="I160" s="3"/>
      <x:c r="J160" s="3"/>
      <x:c r="K160" s="4"/>
      <x:c r="L160" s="4">
        <x:f t="shared" si="28"/>
        <x:v>0</x:v>
      </x:c>
      <x:c r="M160" s="5">
        <x:f t="shared" si="26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7"/>
        <x:v>0</x:v>
      </x:c>
      <x:c r="G161" s="6"/>
      <x:c r="H161" s="299"/>
      <x:c r="I161" s="3"/>
      <x:c r="J161" s="3"/>
      <x:c r="K161" s="4"/>
      <x:c r="L161" s="4">
        <x:f t="shared" si="28"/>
        <x:v>0</x:v>
      </x:c>
      <x:c r="M161" s="5">
        <x:f t="shared" si="26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7"/>
        <x:v>0</x:v>
      </x:c>
      <x:c r="G162" s="6"/>
      <x:c r="H162" s="299"/>
      <x:c r="I162" s="3"/>
      <x:c r="J162" s="3"/>
      <x:c r="K162" s="4"/>
      <x:c r="L162" s="4">
        <x:f t="shared" si="28"/>
        <x:v>0</x:v>
      </x:c>
      <x:c r="M162" s="5"/>
      <x:c r="N162" s="6"/>
    </x:row>
    <x:row r="163" spans="1:14" ht="20.100000000000001" customHeight="1">
      <x:c r="A163" s="300"/>
      <x:c r="B163" s="3"/>
      <x:c r="C163" s="3"/>
      <x:c r="D163" s="4"/>
      <x:c r="E163" s="4"/>
      <x:c r="F163" s="5">
        <x:f t="shared" si="27"/>
        <x:v>0</x:v>
      </x:c>
      <x:c r="G163" s="6"/>
      <x:c r="H163" s="300"/>
      <x:c r="I163" s="3"/>
      <x:c r="J163" s="3"/>
      <x:c r="K163" s="4"/>
      <x:c r="L163" s="4">
        <x:f t="shared" si="28"/>
        <x:v>0</x:v>
      </x:c>
      <x:c r="M163" s="5">
        <x:f>+K163+L163</x:f>
        <x:v>0</x:v>
      </x:c>
      <x:c r="N163" s="6"/>
    </x:row>
    <x:row r="164" spans="1:14" ht="20.100000000000001" customHeight="1">
      <x:c r="A164" s="7" t="s">
        <x:v>155</x:v>
      </x:c>
      <x:c r="B164" s="8"/>
      <x:c r="C164" s="8"/>
      <x:c r="D164" s="9">
        <x:f>SUM(D154:D163)</x:f>
        <x:v>146100</x:v>
      </x:c>
      <x:c r="E164" s="9">
        <x:f>SUM(E154:E163)</x:f>
        <x:v>0</x:v>
      </x:c>
      <x:c r="F164" s="10">
        <x:f>SUM(F154:F163)</x:f>
        <x:v>146100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customHeight="1">
      <x:c r="A165" s="12" t="s">
        <x:v>1690</x:v>
      </x:c>
      <x:c r="B165" s="13"/>
      <x:c r="C165" s="13"/>
      <x:c r="D165" s="14">
        <x:f>+D143+D148+D153+D164</x:f>
        <x:v>8948575</x:v>
      </x:c>
      <x:c r="E165" s="14">
        <x:f>+E143+E148+E153+E164</x:f>
        <x:v>681247</x:v>
      </x:c>
      <x:c r="F165" s="15">
        <x:f>+F143+F148+F153+F164</x:f>
        <x:v>9629822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customHeight="1">
      <x:c r="A166" s="23" t="s">
        <x:v>35</x:v>
      </x:c>
      <x:c r="B166" s="24"/>
      <x:c r="C166" s="24"/>
      <x:c r="D166" s="25">
        <x:f>+D127-D165</x:f>
        <x:v>15197425</x:v>
      </x:c>
      <x:c r="E166" s="25">
        <x:f>+E127-E165</x:f>
        <x:v>1733353</x:v>
      </x:c>
      <x:c r="F166" s="26">
        <x:f>+F127-F165</x:f>
        <x:v>16930778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+D15+D59+D101+D143</x:f>
        <x:v>81172105</x:v>
      </x:c>
      <x:c r="E169" s="2">
        <x:f>+E15+E59+E101+E143</x:f>
        <x:v>8117210</x:v>
      </x:c>
      <x:c r="F169" s="2">
        <x:f>+F15+F59+F101+F143</x:f>
        <x:v>89289315</x:v>
      </x:c>
      <x:c r="K169" s="2">
        <x:f>+K15+K59+K101+K143</x:f>
        <x:v>59191215</x:v>
      </x:c>
      <x:c r="L169" s="2">
        <x:f>+L15+L59+L101+L143</x:f>
        <x:v>5919119.5</x:v>
      </x:c>
      <x:c r="M169" s="2">
        <x:f>+M15+M59+M101+M143</x:f>
        <x:v>65110334.5</x:v>
      </x:c>
    </x:row>
    <x:row r="170" spans="1:13">
      <x:c r="A170" s="1" t="s">
        <x:v>153</x:v>
      </x:c>
      <x:c r="D170" s="2">
        <x:f>+D22+D64+D106+D148</x:f>
        <x:v>61075000</x:v>
      </x:c>
      <x:c r="E170" s="2">
        <x:f>+E22+E64+E106+E148</x:f>
        <x:v>0</x:v>
      </x:c>
      <x:c r="F170" s="2">
        <x:f>+F22+F64+F106+F148</x:f>
        <x:v>61075000</x:v>
      </x:c>
      <x:c r="K170" s="2">
        <x:f>+K22+K64+K106+K148</x:f>
        <x:v>74440000</x:v>
      </x:c>
      <x:c r="L170" s="2">
        <x:f>+L22+L64+L106+L148</x:f>
        <x:v>560000</x:v>
      </x:c>
      <x:c r="M170" s="2">
        <x:f>+M22+M64+M106+M148</x:f>
        <x:v>75000000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840000</x:v>
      </x:c>
      <x:c r="E171" s="2">
        <x:f>+E27+E69+E111+E153</x:f>
        <x:v>84000</x:v>
      </x:c>
      <x:c r="F171" s="2">
        <x:f>+F27+F69+F111+F153</x:f>
        <x:v>924000</x:v>
      </x:c>
      <x:c r="H171" s="1"/>
      <x:c r="I171" s="1"/>
      <x:c r="J171" s="1"/>
      <x:c r="K171" s="2">
        <x:f>+K27+K69+K111+K153</x:f>
        <x:v>0</x:v>
      </x:c>
      <x:c r="L171" s="2">
        <x:f>+L27+L69+L111+L153</x:f>
        <x:v>0</x:v>
      </x:c>
      <x:c r="M171" s="2">
        <x:f>+M27+M69+M111+M153</x:f>
        <x:v>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8346116</x:v>
      </x:c>
      <x:c r="E172" s="2">
        <x:f>+E38+E80+E122+E164</x:f>
        <x:v>481353.59999999998</x:v>
      </x:c>
      <x:c r="F172" s="2">
        <x:f>+F38+F80+F122+F164</x:f>
        <x:v>8827469.5999999996</x:v>
      </x:c>
      <x:c r="H172" s="1"/>
      <x:c r="I172" s="1"/>
      <x:c r="J172" s="1"/>
      <x:c r="K172" s="2">
        <x:f>+K38+K80+K122+K164</x:f>
        <x:v>6853088</x:v>
      </x:c>
      <x:c r="L172" s="2">
        <x:f>+L38+L80+L122+L164</x:f>
        <x:v>333181.79999999999</x:v>
      </x:c>
      <x:c r="M172" s="2">
        <x:f>+M38+M80+M122+M164</x:f>
        <x:v>7186269.7999999998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151433221</x:v>
      </x:c>
      <x:c r="E173" s="2">
        <x:f>SUM(E169:E172)</x:f>
        <x:v>8682563.5999999996</x:v>
      </x:c>
      <x:c r="F173" s="2">
        <x:f>SUM(F169:F172)</x:f>
        <x:v>160115784.59999999</x:v>
      </x:c>
      <x:c r="H173" s="1"/>
      <x:c r="I173" s="1"/>
      <x:c r="J173" s="1"/>
      <x:c r="K173" s="2">
        <x:f>SUM(K169:K172)</x:f>
        <x:v>140484303</x:v>
      </x:c>
      <x:c r="L173" s="2">
        <x:f>SUM(L169:L172)</x:f>
        <x:v>6812301.2999999998</x:v>
      </x:c>
      <x:c r="M173" s="2">
        <x:f>SUM(M169:M172)</x:f>
        <x:v>147296604.30000001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140363320</x:v>
      </x:c>
      <x:c r="E176" s="2">
        <x:f>+E169+L169</x:f>
        <x:v>14036329.5</x:v>
      </x:c>
      <x:c r="F176" s="2">
        <x:f>+F169+M169</x:f>
        <x:v>154399649.5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9">+D170+K170</x:f>
        <x:v>135515000</x:v>
      </x:c>
      <x:c r="E177" s="2">
        <x:f t="shared" si="29"/>
        <x:v>560000</x:v>
      </x:c>
      <x:c r="F177" s="2">
        <x:f t="shared" si="29"/>
        <x:v>136075000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9"/>
        <x:v>840000</x:v>
      </x:c>
      <x:c r="E178" s="2">
        <x:f t="shared" si="29"/>
        <x:v>84000</x:v>
      </x:c>
      <x:c r="F178" s="2">
        <x:f t="shared" si="29"/>
        <x:v>924000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9"/>
        <x:v>15199204</x:v>
      </x:c>
      <x:c r="E179" s="2">
        <x:f t="shared" si="29"/>
        <x:v>814535.39999999991</x:v>
      </x:c>
      <x:c r="F179" s="2">
        <x:f t="shared" si="29"/>
        <x:v>16013739.399999999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291917524</x:v>
      </x:c>
      <x:c r="E180" s="2">
        <x:f>SUM(E176:E179)</x:f>
        <x:v>15494864.9</x:v>
      </x:c>
      <x:c r="F180" s="2">
        <x:f>SUM(F176:F179)</x:f>
        <x:v>307412388.89999998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378098291</x:v>
      </x:c>
      <x:c r="E181" s="2">
        <x:f>E4+E43+E85+L4+L43+L85</x:f>
        <x:v>3195709</x:v>
      </x:c>
      <x:c r="F181" s="2">
        <x:f>F4+F43+F85+M4+M43+M85</x:f>
        <x:v>357148000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86180767</x:v>
      </x:c>
      <x:c r="E182" s="2">
        <x:f>+E181-E180</x:f>
        <x:v>-12299155.9</x:v>
      </x:c>
      <x:c r="F182" s="2">
        <x:f>+F181-F180</x:f>
        <x:v>49735611.100000024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6:A21"/>
    <x:mergeCell ref="H16:H21"/>
    <x:mergeCell ref="A1:N1"/>
    <x:mergeCell ref="A2:G2"/>
    <x:mergeCell ref="H2:N2"/>
    <x:mergeCell ref="A5:A14"/>
    <x:mergeCell ref="H5:H1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R12"/>
  <x:sheetViews>
    <x:sheetView view="pageBreakPreview" topLeftCell="A1" zoomScaleNormal="100" zoomScaleSheetLayoutView="100" workbookViewId="0">
      <x:selection activeCell="D9" activeCellId="1" sqref="D7:D7 D9:D10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1764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96"/>
      <x:c r="C2" s="96"/>
      <x:c r="D2" s="96"/>
      <x:c r="E2" s="96"/>
      <x:c r="F2" s="96"/>
      <x:c r="G2" s="96"/>
      <x:c r="H2" s="96"/>
      <x:c r="I2" s="96"/>
      <x:c r="J2" s="96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306" t="s">
        <x:v>1044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98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'20년02월(세부내역)'!D4</x:f>
        <x:v>117000000</x:v>
      </x:c>
      <x:c r="E5" s="67">
        <x:f>'20년02월(세부내역)'!D15</x:f>
        <x:v>27237234</x:v>
      </x:c>
      <x:c r="F5" s="67">
        <x:f>'20년02월(세부내역)'!D22</x:f>
        <x:v>43278494</x:v>
      </x:c>
      <x:c r="G5" s="67">
        <x:f>'20년02월(세부내역)'!D27</x:f>
        <x:v>900000</x:v>
      </x:c>
      <x:c r="H5" s="67">
        <x:f>'20년02월(세부내역)'!D38</x:f>
        <x:v>5245876</x:v>
      </x:c>
      <x:c r="I5" s="75">
        <x:f t="shared" ref="I5:I10" si="0">+SUM(E5:H5)</x:f>
        <x:v>76661604</x:v>
      </x:c>
      <x:c r="J5" s="9">
        <x:f t="shared" ref="J5:J11" si="1">D5-I5</x:f>
        <x:v>40338396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'20년02월(세부내역)'!K4</x:f>
        <x:v>30930000</x:v>
      </x:c>
      <x:c r="E6" s="59">
        <x:f>+'20년02월(세부내역)'!K15</x:f>
        <x:v>10723776</x:v>
      </x:c>
      <x:c r="F6" s="59">
        <x:f>'20년02월(세부내역)'!K22</x:f>
        <x:v>22005000</x:v>
      </x:c>
      <x:c r="G6" s="59">
        <x:f>'20년02월(세부내역)'!K27</x:f>
        <x:v>0</x:v>
      </x:c>
      <x:c r="H6" s="59">
        <x:f>'20년02월(세부내역)'!K38</x:f>
        <x:v>2338620</x:v>
      </x:c>
      <x:c r="I6" s="75">
        <x:f t="shared" si="0"/>
        <x:v>35067396</x:v>
      </x:c>
      <x:c r="J6" s="9">
        <x:f t="shared" si="1"/>
        <x:v>-4137396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'20년02월(세부내역)'!D43</x:f>
        <x:v>22347576</x:v>
      </x:c>
      <x:c r="E7" s="59">
        <x:f>+'20년02월(세부내역)'!D59</x:f>
        <x:v>8157680</x:v>
      </x:c>
      <x:c r="F7" s="59">
        <x:f>'20년02월(세부내역)'!D64</x:f>
        <x:v>17390000</x:v>
      </x:c>
      <x:c r="G7" s="59">
        <x:f>'20년02월(세부내역)'!D69</x:f>
        <x:v>260000</x:v>
      </x:c>
      <x:c r="H7" s="59">
        <x:f>'20년02월(세부내역)'!D80</x:f>
        <x:v>1560350</x:v>
      </x:c>
      <x:c r="I7" s="75">
        <x:f t="shared" si="0"/>
        <x:v>27368030</x:v>
      </x:c>
      <x:c r="J7" s="80">
        <x:f t="shared" si="1"/>
        <x:v>-5020454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'20년02월(세부내역)'!K43</x:f>
        <x:v>32160000</x:v>
      </x:c>
      <x:c r="E8" s="59">
        <x:f>'20년02월(세부내역)'!K59</x:f>
        <x:v>10826850</x:v>
      </x:c>
      <x:c r="F8" s="59">
        <x:f>'20년02월(세부내역)'!K64</x:f>
        <x:v>11510000</x:v>
      </x:c>
      <x:c r="G8" s="59">
        <x:f>'20년02월(세부내역)'!K69</x:f>
        <x:v>0</x:v>
      </x:c>
      <x:c r="H8" s="59">
        <x:f>'20년02월(세부내역)'!K80</x:f>
        <x:v>1937480</x:v>
      </x:c>
      <x:c r="I8" s="75">
        <x:f t="shared" si="0"/>
        <x:v>24274330</x:v>
      </x:c>
      <x:c r="J8" s="9">
        <x:f t="shared" si="1"/>
        <x:v>7885670</x:v>
      </x:c>
      <x:c r="K8" s="71" t="s">
        <x:v>216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'20년02월(세부내역)'!D85</x:f>
        <x:v>22758060</x:v>
      </x:c>
      <x:c r="E9" s="59">
        <x:f>'20년02월(세부내역)'!D101</x:f>
        <x:v>5692160</x:v>
      </x:c>
      <x:c r="F9" s="59">
        <x:f>'20년02월(세부내역)'!D106</x:f>
        <x:v>20500000</x:v>
      </x:c>
      <x:c r="G9" s="59">
        <x:f>'20년02월(세부내역)'!D111</x:f>
        <x:v>0</x:v>
      </x:c>
      <x:c r="H9" s="59">
        <x:f>'20년02월(세부내역)'!D122</x:f>
        <x:v>2489300</x:v>
      </x:c>
      <x:c r="I9" s="75">
        <x:f t="shared" si="0"/>
        <x:v>28681460</x:v>
      </x:c>
      <x:c r="J9" s="9">
        <x:f t="shared" si="1"/>
        <x:v>-5923400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'20년02월(세부내역)'!K85</x:f>
        <x:v>44609489</x:v>
      </x:c>
      <x:c r="E10" s="59">
        <x:f>'20년02월(세부내역)'!K101</x:f>
        <x:v>23302718</x:v>
      </x:c>
      <x:c r="F10" s="59">
        <x:f>'20년02월(세부내역)'!K106</x:f>
        <x:v>31670000</x:v>
      </x:c>
      <x:c r="G10" s="59">
        <x:f>'20년02월(세부내역)'!K111</x:f>
        <x:v>290000</x:v>
      </x:c>
      <x:c r="H10" s="59">
        <x:f>'20년02월(세부내역)'!K122</x:f>
        <x:v>1691450</x:v>
      </x:c>
      <x:c r="I10" s="75">
        <x:f t="shared" si="0"/>
        <x:v>56954168</x:v>
      </x:c>
      <x:c r="J10" s="9">
        <x:f t="shared" si="1"/>
        <x:v>-12344679</x:v>
      </x:c>
      <x:c r="K10" s="59"/>
    </x:row>
    <x:row r="11" spans="1:11" ht="30" customHeight="1">
      <x:c r="A11" s="63">
        <x:v>7</x:v>
      </x:c>
      <x:c r="B11" s="63" t="s">
        <x:v>672</x:v>
      </x:c>
      <x:c r="C11" s="58" t="s">
        <x:v>688</x:v>
      </x:c>
      <x:c r="D11" s="74">
        <x:f>'20년02월(세부내역)'!D127</x:f>
        <x:v>2570000</x:v>
      </x:c>
      <x:c r="E11" s="59">
        <x:f>'20년02월(세부내역)'!D143</x:f>
        <x:v>85900</x:v>
      </x:c>
      <x:c r="F11" s="59">
        <x:f>'20년02월(세부내역)'!D148</x:f>
        <x:v>0</x:v>
      </x:c>
      <x:c r="G11" s="59">
        <x:f>'20년02월(세부내역)'!D153</x:f>
        <x:v>0</x:v>
      </x:c>
      <x:c r="H11" s="59">
        <x:f>'20년02월(세부내역)'!D164</x:f>
        <x:v>0</x:v>
      </x:c>
      <x:c r="I11" s="75">
        <x:f>+SUM(E11:H11)</x:f>
        <x:v>85900</x:v>
      </x:c>
      <x:c r="J11" s="9">
        <x:f t="shared" si="1"/>
        <x:v>2484100</x:v>
      </x:c>
      <x:c r="K11" s="71" t="s">
        <x:v>216</x:v>
      </x:c>
    </x:row>
    <x:row r="12" spans="1:11" ht="30" customHeight="1">
      <x:c r="A12" s="64"/>
      <x:c r="B12" s="64" t="s">
        <x:v>1690</x:v>
      </x:c>
      <x:c r="C12" s="65"/>
      <x:c r="D12" s="68">
        <x:f>SUM(D5:D11)</x:f>
        <x:v>272375125</x:v>
      </x:c>
      <x:c r="E12" s="66">
        <x:f t="shared" ref="E12:J12" si="2">SUM(E5:E11)</x:f>
        <x:v>86026318</x:v>
      </x:c>
      <x:c r="F12" s="66">
        <x:f t="shared" si="2"/>
        <x:v>146353494</x:v>
      </x:c>
      <x:c r="G12" s="66">
        <x:f t="shared" si="2"/>
        <x:v>1450000</x:v>
      </x:c>
      <x:c r="H12" s="66">
        <x:f t="shared" si="2"/>
        <x:v>15263076</x:v>
      </x:c>
      <x:c r="I12" s="69">
        <x:f t="shared" si="2"/>
        <x:v>249092888</x:v>
      </x:c>
      <x:c r="J12" s="66">
        <x:f t="shared" si="2"/>
        <x:v>23282237</x:v>
      </x:c>
      <x:c r="K12" s="66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N182"/>
  <x:sheetViews>
    <x:sheetView view="pageBreakPreview" topLeftCell="B67" zoomScaleNormal="100" zoomScaleSheetLayoutView="100" workbookViewId="0">
      <x:selection activeCell="M85" activeCellId="2" sqref="F43:F43 F85:F85 M85:M8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1766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98" t="s">
        <x:v>144</x:v>
      </x:c>
      <x:c r="C3" s="98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98" t="s">
        <x:v>144</x:v>
      </x:c>
      <x:c r="J3" s="98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117000000</x:v>
      </x:c>
      <x:c r="E4" s="39"/>
      <x:c r="F4" s="40">
        <x:f>+D4+E4</x:f>
        <x:v>117000000</x:v>
      </x:c>
      <x:c r="G4" s="42"/>
      <x:c r="H4" s="97" t="s">
        <x:v>151</x:v>
      </x:c>
      <x:c r="I4" s="38" t="s">
        <x:v>1679</x:v>
      </x:c>
      <x:c r="J4" s="38" t="s">
        <x:v>1030</x:v>
      </x:c>
      <x:c r="K4" s="39">
        <x:v>30930000</x:v>
      </x:c>
      <x:c r="L4" s="39">
        <x:v>70000</x:v>
      </x:c>
      <x:c r="M4" s="40">
        <x:f>+K4+L4</x:f>
        <x:v>31000000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675</x:v>
      </x:c>
      <x:c r="D5" s="20">
        <x:v>1367500</x:v>
      </x:c>
      <x:c r="E5" s="20">
        <x:f>+D5*0.1</x:f>
        <x:v>136750</x:v>
      </x:c>
      <x:c r="F5" s="21">
        <x:f>+D5+E5</x:f>
        <x:v>1504250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3652026</x:v>
      </x:c>
      <x:c r="L5" s="20">
        <x:f>K5*0.1</x:f>
        <x:v>365202.60000000003</x:v>
      </x:c>
      <x:c r="M5" s="21">
        <x:f t="shared" ref="M5:M21" si="0">+K5+L5</x:f>
        <x:v>4017228.6000000001</x:v>
      </x:c>
      <x:c r="N5" s="22"/>
    </x:row>
    <x:row r="6" spans="1:14" ht="20.100000000000001" customHeight="1">
      <x:c r="A6" s="299"/>
      <x:c r="B6" s="3" t="s">
        <x:v>867</x:v>
      </x:c>
      <x:c r="C6" s="3" t="s">
        <x:v>110</x:v>
      </x:c>
      <x:c r="D6" s="4">
        <x:v>12203924</x:v>
      </x:c>
      <x:c r="E6" s="4">
        <x:f t="shared" ref="E6:E13" si="1">+D6*0.1</x:f>
        <x:v>1220392.4000000001</x:v>
      </x:c>
      <x:c r="F6" s="5">
        <x:f>+D6+E6</x:f>
        <x:v>13424316.4</x:v>
      </x:c>
      <x:c r="G6" s="6"/>
      <x:c r="H6" s="299"/>
      <x:c r="I6" s="3" t="s">
        <x:v>867</x:v>
      </x:c>
      <x:c r="J6" s="3" t="s">
        <x:v>72</x:v>
      </x:c>
      <x:c r="K6" s="4">
        <x:v>3957050</x:v>
      </x:c>
      <x:c r="L6" s="4">
        <x:f t="shared" ref="L6:L14" si="2">K6*0.1</x:f>
        <x:v>395705</x:v>
      </x:c>
      <x:c r="M6" s="5">
        <x:f t="shared" si="0"/>
        <x:v>4352755</x:v>
      </x:c>
      <x:c r="N6" s="6"/>
    </x:row>
    <x:row r="7" spans="1:14" ht="20.100000000000001" customHeight="1">
      <x:c r="A7" s="299"/>
      <x:c r="B7" s="3" t="s">
        <x:v>34</x:v>
      </x:c>
      <x:c r="C7" s="3" t="s">
        <x:v>692</x:v>
      </x:c>
      <x:c r="D7" s="4">
        <x:v>170200</x:v>
      </x:c>
      <x:c r="E7" s="4">
        <x:f t="shared" si="1"/>
        <x:v>17020</x:v>
      </x:c>
      <x:c r="F7" s="5">
        <x:f>+D7+E7</x:f>
        <x:v>187220</x:v>
      </x:c>
      <x:c r="G7" s="6"/>
      <x:c r="H7" s="299"/>
      <x:c r="I7" s="3" t="s">
        <x:v>1119</x:v>
      </x:c>
      <x:c r="J7" s="3" t="s">
        <x:v>696</x:v>
      </x:c>
      <x:c r="K7" s="4">
        <x:v>401750</x:v>
      </x:c>
      <x:c r="L7" s="4">
        <x:f>K7*0.1</x:f>
        <x:v>40175</x:v>
      </x:c>
      <x:c r="M7" s="5">
        <x:f t="shared" si="0"/>
        <x:v>441925</x:v>
      </x:c>
      <x:c r="N7" s="6"/>
    </x:row>
    <x:row r="8" spans="1:14" ht="20.100000000000001" customHeight="1">
      <x:c r="A8" s="299"/>
      <x:c r="B8" s="3" t="s">
        <x:v>840</x:v>
      </x:c>
      <x:c r="C8" s="3" t="s">
        <x:v>1111</x:v>
      </x:c>
      <x:c r="D8" s="4">
        <x:v>78900</x:v>
      </x:c>
      <x:c r="E8" s="4">
        <x:f t="shared" si="1"/>
        <x:v>7890</x:v>
      </x:c>
      <x:c r="F8" s="5">
        <x:f t="shared" ref="F8:F14" si="3">+D8+E8</x:f>
        <x:v>86790</x:v>
      </x:c>
      <x:c r="G8" s="6"/>
      <x:c r="H8" s="299"/>
      <x:c r="I8" s="3" t="s">
        <x:v>976</x:v>
      </x:c>
      <x:c r="J8" s="3" t="s">
        <x:v>350</x:v>
      </x:c>
      <x:c r="K8" s="4">
        <x:v>709000</x:v>
      </x:c>
      <x:c r="L8" s="4">
        <x:f t="shared" si="2"/>
        <x:v>70900</x:v>
      </x:c>
      <x:c r="M8" s="5">
        <x:f t="shared" si="0"/>
        <x:v>779900</x:v>
      </x:c>
      <x:c r="N8" s="6"/>
    </x:row>
    <x:row r="9" spans="1:14" ht="20.100000000000001" customHeight="1">
      <x:c r="A9" s="299"/>
      <x:c r="B9" s="3" t="s">
        <x:v>854</x:v>
      </x:c>
      <x:c r="C9" s="3" t="s">
        <x:v>340</x:v>
      </x:c>
      <x:c r="D9" s="4">
        <x:v>1860000</x:v>
      </x:c>
      <x:c r="E9" s="4">
        <x:f t="shared" si="1"/>
        <x:v>186000</x:v>
      </x:c>
      <x:c r="F9" s="5">
        <x:f t="shared" si="3"/>
        <x:v>2046000</x:v>
      </x:c>
      <x:c r="G9" s="6"/>
      <x:c r="H9" s="299"/>
      <x:c r="I9" s="3" t="s">
        <x:v>846</x:v>
      </x:c>
      <x:c r="J9" s="3" t="s">
        <x:v>1108</x:v>
      </x:c>
      <x:c r="K9" s="4">
        <x:v>1133950</x:v>
      </x:c>
      <x:c r="L9" s="4">
        <x:f t="shared" si="2"/>
        <x:v>113395</x:v>
      </x:c>
      <x:c r="M9" s="5">
        <x:f t="shared" si="0"/>
        <x:v>1247345</x:v>
      </x:c>
      <x:c r="N9" s="6"/>
    </x:row>
    <x:row r="10" spans="1:14" ht="20.100000000000001" customHeight="1">
      <x:c r="A10" s="299"/>
      <x:c r="B10" s="3" t="s">
        <x:v>895</x:v>
      </x:c>
      <x:c r="C10" s="3" t="s">
        <x:v>377</x:v>
      </x:c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967</x:v>
      </x:c>
      <x:c r="J10" s="3" t="s">
        <x:v>1115</x:v>
      </x:c>
      <x:c r="K10" s="4">
        <x:v>572000</x:v>
      </x:c>
      <x:c r="L10" s="4">
        <x:f t="shared" si="2"/>
        <x:v>57200</x:v>
      </x:c>
      <x:c r="M10" s="5">
        <x:f t="shared" si="0"/>
        <x:v>629200</x:v>
      </x:c>
      <x:c r="N10" s="6"/>
    </x:row>
    <x:row r="11" spans="1:14" ht="20.100000000000001" customHeight="1">
      <x:c r="A11" s="299"/>
      <x:c r="B11" s="3" t="s">
        <x:v>864</x:v>
      </x:c>
      <x:c r="C11" s="3" t="s">
        <x:v>92</x:v>
      </x:c>
      <x:c r="D11" s="4">
        <x:v>6077780</x:v>
      </x:c>
      <x:c r="E11" s="4">
        <x:f t="shared" si="1"/>
        <x:v>607778</x:v>
      </x:c>
      <x:c r="F11" s="5">
        <x:f t="shared" si="3"/>
        <x:v>6685558</x:v>
      </x:c>
      <x:c r="G11" s="6"/>
      <x:c r="H11" s="299"/>
      <x:c r="I11" s="3" t="s">
        <x:v>938</x:v>
      </x:c>
      <x:c r="J11" s="3" t="s">
        <x:v>953</x:v>
      </x:c>
      <x:c r="K11" s="4">
        <x:v>298000</x:v>
      </x:c>
      <x:c r="L11" s="4">
        <x:f t="shared" si="2"/>
        <x:v>29800</x:v>
      </x:c>
      <x:c r="M11" s="5">
        <x:f t="shared" si="0"/>
        <x:v>327800</x:v>
      </x:c>
      <x:c r="N11" s="6"/>
    </x:row>
    <x:row r="12" spans="1:14" ht="20.100000000000001" customHeight="1">
      <x:c r="A12" s="299"/>
      <x:c r="B12" s="3" t="s">
        <x:v>846</x:v>
      </x:c>
      <x:c r="C12" s="3" t="s">
        <x:v>1163</x:v>
      </x:c>
      <x:c r="D12" s="4">
        <x:v>4323930</x:v>
      </x:c>
      <x:c r="E12" s="4">
        <x:f>+D12*0.1</x:f>
        <x:v>432393</x:v>
      </x:c>
      <x:c r="F12" s="5">
        <x:f>+D12+E12</x:f>
        <x:v>4756323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 t="s">
        <x:v>1150</x:v>
      </x:c>
      <x:c r="C13" s="3" t="s">
        <x:v>1133</x:v>
      </x:c>
      <x:c r="D13" s="44">
        <x:v>1155000</x:v>
      </x:c>
      <x:c r="E13" s="44">
        <x:f t="shared" si="1"/>
        <x:v>115500</x:v>
      </x:c>
      <x:c r="F13" s="45">
        <x:f t="shared" si="3"/>
        <x:v>1270500</x:v>
      </x:c>
      <x:c r="G13" s="6"/>
      <x:c r="H13" s="299"/>
      <x:c r="I13" s="3"/>
      <x:c r="J13" s="3"/>
      <x:c r="K13" s="4"/>
      <x:c r="L13" s="4">
        <x:f t="shared" si="2"/>
        <x:v>0</x:v>
      </x:c>
      <x:c r="M13" s="5">
        <x:f t="shared" si="0"/>
        <x:v>0</x:v>
      </x:c>
      <x:c r="N13" s="6"/>
    </x:row>
    <x:row r="14" spans="1:14" ht="20.100000000000001" customHeight="1">
      <x:c r="A14" s="300"/>
      <x:c r="B14" s="3"/>
      <x:c r="C14" s="3"/>
      <x:c r="D14" s="4"/>
      <x:c r="E14" s="4"/>
      <x:c r="F14" s="45">
        <x:f t="shared" si="3"/>
        <x:v>0</x:v>
      </x:c>
      <x:c r="G14" s="6"/>
      <x:c r="H14" s="300"/>
      <x:c r="I14" s="3"/>
      <x:c r="J14" s="3"/>
      <x:c r="K14" s="4"/>
      <x:c r="L14" s="4">
        <x:f t="shared" si="2"/>
        <x:v>0</x:v>
      </x:c>
      <x:c r="M14" s="5">
        <x:f t="shared" si="0"/>
        <x:v>0</x:v>
      </x:c>
      <x:c r="N14" s="6"/>
    </x:row>
    <x:row r="15" spans="1:14" ht="20.100000000000001" customHeight="1">
      <x:c r="A15" s="7" t="s">
        <x:v>155</x:v>
      </x:c>
      <x:c r="B15" s="8"/>
      <x:c r="C15" s="8"/>
      <x:c r="D15" s="9">
        <x:f>SUM(D5:D14)</x:f>
        <x:v>27237234</x:v>
      </x:c>
      <x:c r="E15" s="9">
        <x:f>SUM(E5:E14)</x:f>
        <x:v>2723723.4000000004</x:v>
      </x:c>
      <x:c r="F15" s="10">
        <x:f>SUM(F5:F14)</x:f>
        <x:v>29960957.399999999</x:v>
      </x:c>
      <x:c r="G15" s="11"/>
      <x:c r="H15" s="7"/>
      <x:c r="I15" s="8"/>
      <x:c r="J15" s="8"/>
      <x:c r="K15" s="9">
        <x:f>SUM(K5:K14)</x:f>
        <x:v>10723776</x:v>
      </x:c>
      <x:c r="L15" s="9">
        <x:f>SUM(L5:L14)</x:f>
        <x:v>1072377.6000000001</x:v>
      </x:c>
      <x:c r="M15" s="10">
        <x:f>SUM(M5:M14)</x:f>
        <x:v>11796153.6</x:v>
      </x:c>
      <x:c r="N15" s="11"/>
    </x:row>
    <x:row r="16" spans="1:14" ht="20.100000000000001" customHeight="1">
      <x:c r="A16" s="301" t="s">
        <x:v>153</x:v>
      </x:c>
      <x:c r="B16" s="3" t="s">
        <x:v>1677</x:v>
      </x:c>
      <x:c r="C16" s="3" t="s">
        <x:v>1079</x:v>
      </x:c>
      <x:c r="D16" s="44">
        <x:v>38570000</x:v>
      </x:c>
      <x:c r="E16" s="44"/>
      <x:c r="F16" s="45">
        <x:f t="shared" ref="F16:F21" si="4">+D16+E16</x:f>
        <x:v>38570000</x:v>
      </x:c>
      <x:c r="G16" s="37"/>
      <x:c r="H16" s="301" t="s">
        <x:v>153</x:v>
      </x:c>
      <x:c r="I16" s="3" t="s">
        <x:v>1677</x:v>
      </x:c>
      <x:c r="J16" s="3" t="s">
        <x:v>1083</x:v>
      </x:c>
      <x:c r="K16" s="4">
        <x:f>22005000-K17</x:f>
        <x:v>14705000</x:v>
      </x:c>
      <x:c r="L16" s="4"/>
      <x:c r="M16" s="5">
        <x:f t="shared" si="0"/>
        <x:v>14705000</x:v>
      </x:c>
      <x:c r="N16" s="6"/>
    </x:row>
    <x:row r="17" spans="1:14" ht="20.100000000000001" customHeight="1">
      <x:c r="A17" s="299"/>
      <x:c r="B17" s="3" t="s">
        <x:v>1050</x:v>
      </x:c>
      <x:c r="C17" s="3" t="s">
        <x:v>251</x:v>
      </x:c>
      <x:c r="D17" s="4">
        <x:v>4708494</x:v>
      </x:c>
      <x:c r="E17" s="4"/>
      <x:c r="F17" s="5">
        <x:f t="shared" si="4"/>
        <x:v>4708494</x:v>
      </x:c>
      <x:c r="G17" s="37"/>
      <x:c r="H17" s="299"/>
      <x:c r="I17" s="3" t="s">
        <x:v>695</x:v>
      </x:c>
      <x:c r="J17" s="3" t="s">
        <x:v>1107</x:v>
      </x:c>
      <x:c r="K17" s="4">
        <x:v>7300000</x:v>
      </x:c>
      <x:c r="L17" s="4"/>
      <x:c r="M17" s="5">
        <x:f t="shared" si="0"/>
        <x:v>7300000</x:v>
      </x:c>
      <x:c r="N17" s="6"/>
    </x:row>
    <x:row r="18" spans="1:14" ht="20.100000000000001" customHeight="1">
      <x:c r="A18" s="299"/>
      <x:c r="B18" s="3"/>
      <x:c r="C18" s="3"/>
      <x:c r="D18" s="4"/>
      <x:c r="E18" s="4"/>
      <x:c r="F18" s="5">
        <x:f t="shared" si="4"/>
        <x:v>0</x:v>
      </x:c>
      <x:c r="G18" s="37"/>
      <x:c r="H18" s="299"/>
      <x:c r="I18" s="3"/>
      <x:c r="J18" s="3"/>
      <x:c r="K18" s="4"/>
      <x:c r="L18" s="4"/>
      <x:c r="M18" s="5">
        <x:f t="shared" si="0"/>
        <x:v>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 t="shared" si="4"/>
        <x:v>0</x:v>
      </x:c>
      <x:c r="G19" s="6"/>
      <x:c r="H19" s="299"/>
      <x:c r="I19" s="3"/>
      <x:c r="J19" s="3"/>
      <x:c r="K19" s="4"/>
      <x:c r="L19" s="4"/>
      <x:c r="M19" s="5">
        <x:f t="shared" si="0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 t="shared" si="4"/>
        <x:v>0</x:v>
      </x:c>
      <x:c r="G20" s="6"/>
      <x:c r="H20" s="299"/>
      <x:c r="I20" s="3"/>
      <x:c r="J20" s="3"/>
      <x:c r="K20" s="4"/>
      <x:c r="L20" s="4"/>
      <x:c r="M20" s="5"/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 t="shared" si="4"/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SUM(D16:D21)</x:f>
        <x:v>43278494</x:v>
      </x:c>
      <x:c r="E22" s="9">
        <x:f>SUM(E16:E21)</x:f>
        <x:v>0</x:v>
      </x:c>
      <x:c r="F22" s="10">
        <x:f>SUM(F16:F21)</x:f>
        <x:v>43278494</x:v>
      </x:c>
      <x:c r="G22" s="11"/>
      <x:c r="H22" s="7"/>
      <x:c r="I22" s="8"/>
      <x:c r="J22" s="8"/>
      <x:c r="K22" s="9">
        <x:f>SUM(K16:K21)</x:f>
        <x:v>22005000</x:v>
      </x:c>
      <x:c r="L22" s="9">
        <x:f>SUM(L16:L21)</x:f>
        <x:v>0</x:v>
      </x:c>
      <x:c r="M22" s="10">
        <x:f>SUM(M16:M21)</x:f>
        <x:v>22005000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300000</x:v>
      </x:c>
      <x:c r="E23" s="4">
        <x:f>+D23*0.1</x:f>
        <x:v>30000</x:v>
      </x:c>
      <x:c r="F23" s="5">
        <x:f>+D23+E23</x:f>
        <x:v>330000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/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900000</x:v>
      </x:c>
      <x:c r="E27" s="9">
        <x:f>SUM(E23:E26)</x:f>
        <x:v>90000</x:v>
      </x:c>
      <x:c r="F27" s="10">
        <x:f>SUM(F23:F26)</x:f>
        <x:v>990000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952</x:v>
      </x:c>
      <x:c r="C28" s="3" t="s">
        <x:v>28</x:v>
      </x:c>
      <x:c r="D28" s="4">
        <x:v>1430000</x:v>
      </x:c>
      <x:c r="E28" s="4">
        <x:f>+D28*0.1</x:f>
        <x:v>143000</x:v>
      </x:c>
      <x:c r="F28" s="5">
        <x:f>+D28+E28</x:f>
        <x:v>1573000</x:v>
      </x:c>
      <x:c r="G28" s="6"/>
      <x:c r="H28" s="301" t="s">
        <x:v>149</x:v>
      </x:c>
      <x:c r="I28" s="3" t="s">
        <x:v>1091</x:v>
      </x:c>
      <x:c r="J28" s="3" t="s">
        <x:v>28</x:v>
      </x:c>
      <x:c r="K28" s="4">
        <x:v>332727</x:v>
      </x:c>
      <x:c r="L28" s="4">
        <x:f>+K28*0.1</x:f>
        <x:v>33272.700000000004</x:v>
      </x:c>
      <x:c r="M28" s="5">
        <x:f t="shared" ref="M28:M37" si="5">+K28+L28</x:f>
        <x:v>365999.70000000001</x:v>
      </x:c>
      <x:c r="N28" s="6"/>
    </x:row>
    <x:row r="29" spans="1:14" ht="20.100000000000001" customHeight="1">
      <x:c r="A29" s="299"/>
      <x:c r="B29" s="3" t="s">
        <x:v>959</x:v>
      </x:c>
      <x:c r="C29" s="3" t="s">
        <x:v>825</x:v>
      </x:c>
      <x:c r="D29" s="4">
        <x:v>900000</x:v>
      </x:c>
      <x:c r="E29" s="4">
        <x:f>+D29*0.1</x:f>
        <x:v>90000</x:v>
      </x:c>
      <x:c r="F29" s="5">
        <x:f>+D29+E29</x:f>
        <x:v>990000</x:v>
      </x:c>
      <x:c r="G29" s="6"/>
      <x:c r="H29" s="299"/>
      <x:c r="I29" s="3" t="s">
        <x:v>217</x:v>
      </x:c>
      <x:c r="J29" s="3" t="s">
        <x:v>941</x:v>
      </x:c>
      <x:c r="K29" s="4">
        <x:v>500000</x:v>
      </x:c>
      <x:c r="L29" s="4">
        <x:f>+K29*0.1</x:f>
        <x:v>50000</x:v>
      </x:c>
      <x:c r="M29" s="5">
        <x:f>+K29+L29</x:f>
        <x:v>550000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883</x:v>
      </x:c>
      <x:c r="J30" s="3" t="s">
        <x:v>896</x:v>
      </x:c>
      <x:c r="K30" s="4">
        <x:v>200000</x:v>
      </x:c>
      <x:c r="L30" s="4">
        <x:f>K30*0.1</x:f>
        <x:v>20000</x:v>
      </x:c>
      <x:c r="M30" s="5">
        <x:f>+K30+L30</x:f>
        <x:v>220000</x:v>
      </x:c>
      <x:c r="N30" s="6"/>
    </x:row>
    <x:row r="31" spans="1:14" ht="20.100000000000001" customHeight="1">
      <x:c r="A31" s="299"/>
      <x:c r="B31" s="3" t="s">
        <x:v>923</x:v>
      </x:c>
      <x:c r="C31" s="3" t="s">
        <x:v>896</x:v>
      </x:c>
      <x:c r="D31" s="4">
        <x:v>300000</x:v>
      </x:c>
      <x:c r="E31" s="4">
        <x:f>+D31*0.1</x:f>
        <x:v>30000</x:v>
      </x:c>
      <x:c r="F31" s="5">
        <x:f>+D31+E31</x:f>
        <x:v>330000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6">+D32+E32</x:f>
        <x:v>143000</x:v>
      </x:c>
      <x:c r="G32" s="6"/>
      <x:c r="H32" s="299"/>
      <x:c r="I32" s="3" t="s">
        <x:v>169</x:v>
      </x:c>
      <x:c r="J32" s="3" t="s">
        <x:v>149</x:v>
      </x:c>
      <x:c r="K32" s="4">
        <x:v>1157620</x:v>
      </x:c>
      <x:c r="L32" s="4"/>
      <x:c r="M32" s="5">
        <x:f>+K32+L32</x:f>
        <x:v>1157620</x:v>
      </x:c>
      <x:c r="N32" s="6"/>
    </x:row>
    <x:row r="33" spans="1:14" ht="20.100000000000001" customHeight="1">
      <x:c r="A33" s="299"/>
      <x:c r="B33" s="3" t="s">
        <x:v>185</x:v>
      </x:c>
      <x:c r="C33" s="3" t="s">
        <x:v>149</x:v>
      </x:c>
      <x:c r="D33" s="44">
        <x:v>1421330</x:v>
      </x:c>
      <x:c r="E33" s="44">
        <x:v>7000</x:v>
      </x:c>
      <x:c r="F33" s="45">
        <x:f t="shared" si="6"/>
        <x:v>1428330</x:v>
      </x:c>
      <x:c r="G33" s="6"/>
      <x:c r="H33" s="299"/>
      <x:c r="I33" s="3" t="s">
        <x:v>1120</x:v>
      </x:c>
      <x:c r="J33" s="3" t="s">
        <x:v>167</x:v>
      </x:c>
      <x:c r="K33" s="4"/>
      <x:c r="L33" s="4">
        <x:f>K33*0.1</x:f>
        <x:v>0</x:v>
      </x:c>
      <x:c r="M33" s="5">
        <x:f t="shared" si="5"/>
        <x:v>0</x:v>
      </x:c>
      <x:c r="N33" s="6"/>
    </x:row>
    <x:row r="34" spans="1:14" ht="20.100000000000001" customHeight="1">
      <x:c r="A34" s="299"/>
      <x:c r="B34" s="3" t="s">
        <x:v>1699</x:v>
      </x:c>
      <x:c r="C34" s="3" t="s">
        <x:v>167</x:v>
      </x:c>
      <x:c r="D34" s="4">
        <x:v>90000</x:v>
      </x:c>
      <x:c r="E34" s="4">
        <x:f>+D34*0.1</x:f>
        <x:v>9000</x:v>
      </x:c>
      <x:c r="F34" s="5">
        <x:f t="shared" si="6"/>
        <x:v>99000</x:v>
      </x:c>
      <x:c r="G34" s="6"/>
      <x:c r="H34" s="299"/>
      <x:c r="I34" s="3" t="s">
        <x:v>1149</x:v>
      </x:c>
      <x:c r="J34" s="3" t="s">
        <x:v>1147</x:v>
      </x:c>
      <x:c r="K34" s="4">
        <x:v>48273</x:v>
      </x:c>
      <x:c r="L34" s="4">
        <x:v>4827</x:v>
      </x:c>
      <x:c r="M34" s="5">
        <x:f t="shared" si="5"/>
        <x:v>53100</x:v>
      </x:c>
      <x:c r="N34" s="6"/>
    </x:row>
    <x:row r="35" spans="1:14" ht="20.100000000000001" customHeight="1">
      <x:c r="A35" s="299"/>
      <x:c r="B35" s="3" t="s">
        <x:v>994</x:v>
      </x:c>
      <x:c r="C35" s="3" t="s">
        <x:v>8</x:v>
      </x:c>
      <x:c r="D35" s="4">
        <x:v>424546</x:v>
      </x:c>
      <x:c r="E35" s="4">
        <x:f>+D35*0.1-1</x:f>
        <x:v>42453.600000000006</x:v>
      </x:c>
      <x:c r="F35" s="5">
        <x:f t="shared" si="6"/>
        <x:v>466999.59999999998</x:v>
      </x:c>
      <x:c r="G35" s="6"/>
      <x:c r="H35" s="299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6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6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5245876</x:v>
      </x:c>
      <x:c r="E38" s="9">
        <x:f>SUM(E28:E37)</x:f>
        <x:v>334453.59999999998</x:v>
      </x:c>
      <x:c r="F38" s="10">
        <x:f>SUM(F28:F37)</x:f>
        <x:v>5580329.5999999996</x:v>
      </x:c>
      <x:c r="G38" s="11"/>
      <x:c r="H38" s="7"/>
      <x:c r="I38" s="8"/>
      <x:c r="J38" s="8"/>
      <x:c r="K38" s="9">
        <x:f>SUM(K28:K37)</x:f>
        <x:v>2338620</x:v>
      </x:c>
      <x:c r="L38" s="9">
        <x:f>SUM(L28:L37)</x:f>
        <x:v>118099.70000000001</x:v>
      </x:c>
      <x:c r="M38" s="10">
        <x:f>SUM(M28:M37)</x:f>
        <x:v>2456719.7000000002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+D15+D22+D27+D38</x:f>
        <x:v>76661604</x:v>
      </x:c>
      <x:c r="E39" s="14">
        <x:f>+E15+E22+E27+E38</x:f>
        <x:v>3148177.0000000005</x:v>
      </x:c>
      <x:c r="F39" s="15">
        <x:f>+F15+F22+F27+F38</x:f>
        <x:v>79809781</x:v>
      </x:c>
      <x:c r="G39" s="16"/>
      <x:c r="H39" s="12"/>
      <x:c r="I39" s="13"/>
      <x:c r="J39" s="13"/>
      <x:c r="K39" s="14">
        <x:f>+K15+K22+K27+K38</x:f>
        <x:v>35067396</x:v>
      </x:c>
      <x:c r="L39" s="14">
        <x:f>+L15+L22+L27+L38</x:f>
        <x:v>1190477.3</x:v>
      </x:c>
      <x:c r="M39" s="15">
        <x:f>+M15+M22+M27+M38</x:f>
        <x:v>36257873.300000004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40338396</x:v>
      </x:c>
      <x:c r="E40" s="25">
        <x:f>+E4-E39</x:f>
        <x:v>-3148177.0000000005</x:v>
      </x:c>
      <x:c r="F40" s="26">
        <x:f>+F4-F39</x:f>
        <x:v>37190219</x:v>
      </x:c>
      <x:c r="G40" s="27"/>
      <x:c r="H40" s="23"/>
      <x:c r="I40" s="24"/>
      <x:c r="J40" s="24"/>
      <x:c r="K40" s="25">
        <x:f>+K4-K39</x:f>
        <x:v>-4137396</x:v>
      </x:c>
      <x:c r="L40" s="25">
        <x:f>+L4-L39</x:f>
        <x:v>-1120477.3</x:v>
      </x:c>
      <x:c r="M40" s="26">
        <x:f>+M4-M39</x:f>
        <x:v>-5257873.3000000045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98" t="s">
        <x:v>144</x:v>
      </x:c>
      <x:c r="C42" s="98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98" t="s">
        <x:v>144</x:v>
      </x:c>
      <x:c r="J42" s="98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97" t="s">
        <x:v>151</x:v>
      </x:c>
      <x:c r="B43" s="38" t="s">
        <x:v>1679</x:v>
      </x:c>
      <x:c r="C43" s="38" t="s">
        <x:v>1030</x:v>
      </x:c>
      <x:c r="D43" s="39">
        <x:v>22347576</x:v>
      </x:c>
      <x:c r="E43" s="39">
        <x:v>1652424</x:v>
      </x:c>
      <x:c r="F43" s="40">
        <x:f t="shared" ref="F43:F57" si="7">+D43+E43</x:f>
        <x:v>24000000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v>32160000</x:v>
      </x:c>
      <x:c r="L43" s="39">
        <x:v>376000</x:v>
      </x:c>
      <x:c r="M43" s="40">
        <x:f>+K43+L43</x:f>
        <x:v>32536000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 t="s">
        <x:v>1116</x:v>
      </x:c>
      <x:c r="D44" s="20">
        <x:v>1928580</x:v>
      </x:c>
      <x:c r="E44" s="20">
        <x:f t="shared" ref="E44:E49" si="8">D44*0.1</x:f>
        <x:v>192858</x:v>
      </x:c>
      <x:c r="F44" s="21">
        <x:f t="shared" si="7"/>
        <x:v>2121438</x:v>
      </x:c>
      <x:c r="G44" s="22"/>
      <x:c r="H44" s="298" t="s">
        <x:v>148</x:v>
      </x:c>
      <x:c r="I44" s="19" t="s">
        <x:v>21</x:v>
      </x:c>
      <x:c r="J44" s="19" t="s">
        <x:v>20</x:v>
      </x:c>
      <x:c r="K44" s="20">
        <x:v>393000</x:v>
      </x:c>
      <x:c r="L44" s="20">
        <x:f t="shared" ref="L44:L50" si="9">K44*0.1</x:f>
        <x:v>39300</x:v>
      </x:c>
      <x:c r="M44" s="21">
        <x:f t="shared" ref="M44:M58" si="10">+K44+L44</x:f>
        <x:v>432300</x:v>
      </x:c>
      <x:c r="N44" s="22"/>
    </x:row>
    <x:row r="45" spans="1:14" ht="20.100000000000001" customHeight="1">
      <x:c r="A45" s="299"/>
      <x:c r="B45" s="3" t="s">
        <x:v>840</x:v>
      </x:c>
      <x:c r="C45" s="3"/>
      <x:c r="D45" s="4"/>
      <x:c r="E45" s="4">
        <x:f t="shared" si="8"/>
        <x:v>0</x:v>
      </x:c>
      <x:c r="F45" s="5">
        <x:f t="shared" si="7"/>
        <x:v>0</x:v>
      </x:c>
      <x:c r="G45" s="6"/>
      <x:c r="H45" s="299"/>
      <x:c r="I45" s="3" t="s">
        <x:v>854</x:v>
      </x:c>
      <x:c r="J45" s="3" t="s">
        <x:v>676</x:v>
      </x:c>
      <x:c r="K45" s="4">
        <x:v>318950</x:v>
      </x:c>
      <x:c r="L45" s="4">
        <x:f t="shared" si="9"/>
        <x:v>31895</x:v>
      </x:c>
      <x:c r="M45" s="5">
        <x:f t="shared" si="10"/>
        <x:v>350845</x:v>
      </x:c>
      <x:c r="N45" s="6"/>
    </x:row>
    <x:row r="46" spans="1:14" ht="20.100000000000001" customHeight="1">
      <x:c r="A46" s="299"/>
      <x:c r="B46" s="3" t="s">
        <x:v>21</x:v>
      </x:c>
      <x:c r="C46" s="3" t="s">
        <x:v>925</x:v>
      </x:c>
      <x:c r="D46" s="4">
        <x:v>3270500</x:v>
      </x:c>
      <x:c r="E46" s="4">
        <x:f t="shared" si="8"/>
        <x:v>327050</x:v>
      </x:c>
      <x:c r="F46" s="5">
        <x:f t="shared" si="7"/>
        <x:v>3597550</x:v>
      </x:c>
      <x:c r="G46" s="6"/>
      <x:c r="H46" s="299"/>
      <x:c r="I46" s="3" t="s">
        <x:v>701</x:v>
      </x:c>
      <x:c r="J46" s="3" t="s">
        <x:v>1146</x:v>
      </x:c>
      <x:c r="K46" s="4">
        <x:v>1870000</x:v>
      </x:c>
      <x:c r="L46" s="4">
        <x:f t="shared" si="9"/>
        <x:v>187000</x:v>
      </x:c>
      <x:c r="M46" s="5">
        <x:f t="shared" si="10"/>
        <x:v>2057000</x:v>
      </x:c>
      <x:c r="N46" s="6"/>
    </x:row>
    <x:row r="47" spans="1:14" ht="20.100000000000001" customHeight="1">
      <x:c r="A47" s="299"/>
      <x:c r="B47" s="3" t="s">
        <x:v>907</x:v>
      </x:c>
      <x:c r="C47" s="3" t="s">
        <x:v>1128</x:v>
      </x:c>
      <x:c r="D47" s="4">
        <x:v>450000</x:v>
      </x:c>
      <x:c r="E47" s="4">
        <x:f t="shared" si="8"/>
        <x:v>45000</x:v>
      </x:c>
      <x:c r="F47" s="5">
        <x:f t="shared" si="7"/>
        <x:v>495000</x:v>
      </x:c>
      <x:c r="G47" s="6"/>
      <x:c r="H47" s="299"/>
      <x:c r="I47" s="3" t="s">
        <x:v>967</x:v>
      </x:c>
      <x:c r="J47" s="3" t="s">
        <x:v>1105</x:v>
      </x:c>
      <x:c r="K47" s="4">
        <x:v>207000</x:v>
      </x:c>
      <x:c r="L47" s="4">
        <x:f t="shared" si="9"/>
        <x:v>20700</x:v>
      </x:c>
      <x:c r="M47" s="5">
        <x:f t="shared" si="10"/>
        <x:v>227700</x:v>
      </x:c>
      <x:c r="N47" s="6"/>
    </x:row>
    <x:row r="48" spans="1:14" ht="20.100000000000001" customHeight="1">
      <x:c r="A48" s="299"/>
      <x:c r="B48" s="3" t="s">
        <x:v>1058</x:v>
      </x:c>
      <x:c r="C48" s="3" t="s">
        <x:v>697</x:v>
      </x:c>
      <x:c r="D48" s="4">
        <x:v>2358500</x:v>
      </x:c>
      <x:c r="E48" s="4">
        <x:f t="shared" si="8"/>
        <x:v>235850</x:v>
      </x:c>
      <x:c r="F48" s="5">
        <x:f t="shared" si="7"/>
        <x:v>2594350</x:v>
      </x:c>
      <x:c r="G48" s="6"/>
      <x:c r="H48" s="299"/>
      <x:c r="I48" s="3" t="s">
        <x:v>1135</x:v>
      </x:c>
      <x:c r="J48" s="3" t="s">
        <x:v>699</x:v>
      </x:c>
      <x:c r="K48" s="4">
        <x:v>310000</x:v>
      </x:c>
      <x:c r="L48" s="4">
        <x:f t="shared" si="9"/>
        <x:v>31000</x:v>
      </x:c>
      <x:c r="M48" s="5">
        <x:f t="shared" si="10"/>
        <x:v>341000</x:v>
      </x:c>
      <x:c r="N48" s="6"/>
    </x:row>
    <x:row r="49" spans="1:14" ht="20.100000000000001" customHeight="1">
      <x:c r="A49" s="299"/>
      <x:c r="B49" s="3" t="s">
        <x:v>846</x:v>
      </x:c>
      <x:c r="C49" s="3" t="s">
        <x:v>698</x:v>
      </x:c>
      <x:c r="D49" s="4">
        <x:v>150100</x:v>
      </x:c>
      <x:c r="E49" s="4">
        <x:f t="shared" si="8"/>
        <x:v>15010</x:v>
      </x:c>
      <x:c r="F49" s="5">
        <x:f t="shared" si="7"/>
        <x:v>165110</x:v>
      </x:c>
      <x:c r="G49" s="6"/>
      <x:c r="H49" s="299"/>
      <x:c r="I49" s="3" t="s">
        <x:v>1102</x:v>
      </x:c>
      <x:c r="J49" s="3" t="s">
        <x:v>1103</x:v>
      </x:c>
      <x:c r="K49" s="4">
        <x:v>2700000</x:v>
      </x:c>
      <x:c r="L49" s="4">
        <x:f t="shared" si="9"/>
        <x:v>270000</x:v>
      </x:c>
      <x:c r="M49" s="5">
        <x:f t="shared" si="10"/>
        <x:v>2970000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7" si="11">+INT(D50*0.1)</x:f>
        <x:v>0</x:v>
      </x:c>
      <x:c r="F50" s="5">
        <x:f t="shared" si="7"/>
        <x:v>0</x:v>
      </x:c>
      <x:c r="G50" s="6"/>
      <x:c r="H50" s="299"/>
      <x:c r="I50" s="3" t="s">
        <x:v>693</x:v>
      </x:c>
      <x:c r="J50" s="3" t="s">
        <x:v>1037</x:v>
      </x:c>
      <x:c r="K50" s="4">
        <x:v>3157900</x:v>
      </x:c>
      <x:c r="L50" s="4">
        <x:f t="shared" si="9"/>
        <x:v>315790</x:v>
      </x:c>
      <x:c r="M50" s="5">
        <x:f t="shared" si="10"/>
        <x:v>3473690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11"/>
        <x:v>0</x:v>
      </x:c>
      <x:c r="F51" s="5">
        <x:f t="shared" si="7"/>
        <x:v>0</x:v>
      </x:c>
      <x:c r="G51" s="6"/>
      <x:c r="H51" s="299"/>
      <x:c r="I51" s="3" t="s">
        <x:v>846</x:v>
      </x:c>
      <x:c r="J51" s="3" t="s">
        <x:v>27</x:v>
      </x:c>
      <x:c r="K51" s="4">
        <x:v>270000</x:v>
      </x:c>
      <x:c r="L51" s="4">
        <x:f>K51*0.1</x:f>
        <x:v>27000</x:v>
      </x:c>
      <x:c r="M51" s="5">
        <x:f t="shared" si="10"/>
        <x:v>297000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11"/>
        <x:v>0</x:v>
      </x:c>
      <x:c r="F52" s="5">
        <x:f t="shared" si="7"/>
        <x:v>0</x:v>
      </x:c>
      <x:c r="G52" s="6"/>
      <x:c r="H52" s="299"/>
      <x:c r="I52" s="3" t="s">
        <x:v>1100</x:v>
      </x:c>
      <x:c r="J52" s="3" t="s">
        <x:v>1130</x:v>
      </x:c>
      <x:c r="K52" s="4">
        <x:v>600000</x:v>
      </x:c>
      <x:c r="L52" s="4">
        <x:f>+K52*0.1</x:f>
        <x:v>60000</x:v>
      </x:c>
      <x:c r="M52" s="5">
        <x:f>+K52+L52</x:f>
        <x:v>660000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1"/>
        <x:v>0</x:v>
      </x:c>
      <x:c r="F53" s="5">
        <x:f t="shared" si="7"/>
        <x:v>0</x:v>
      </x:c>
      <x:c r="G53" s="6"/>
      <x:c r="H53" s="299"/>
      <x:c r="I53" s="3" t="s">
        <x:v>177</x:v>
      </x:c>
      <x:c r="J53" s="3" t="s">
        <x:v>1143</x:v>
      </x:c>
      <x:c r="K53" s="4">
        <x:v>1000000</x:v>
      </x:c>
      <x:c r="L53" s="4"/>
      <x:c r="M53" s="5">
        <x:f>+K53+L53</x:f>
        <x:v>1000000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1"/>
        <x:v>0</x:v>
      </x:c>
      <x:c r="F54" s="5">
        <x:f t="shared" si="7"/>
        <x:v>0</x:v>
      </x:c>
      <x:c r="G54" s="6"/>
      <x:c r="H54" s="299"/>
      <x:c r="I54" s="3"/>
      <x:c r="J54" s="3"/>
      <x:c r="K54" s="4"/>
      <x:c r="L54" s="4">
        <x:f>+K54*0.1</x:f>
        <x:v>0</x:v>
      </x:c>
      <x:c r="M54" s="5">
        <x:f t="shared" si="10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11"/>
        <x:v>0</x:v>
      </x:c>
      <x:c r="F55" s="5">
        <x:f t="shared" si="7"/>
        <x:v>0</x:v>
      </x:c>
      <x:c r="G55" s="6"/>
      <x:c r="H55" s="299"/>
      <x:c r="I55" s="3"/>
      <x:c r="J55" s="3"/>
      <x:c r="K55" s="4"/>
      <x:c r="L55" s="4">
        <x:f>+K55*0.1</x:f>
        <x:v>0</x:v>
      </x:c>
      <x:c r="M55" s="5">
        <x:f t="shared" si="10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1"/>
        <x:v>0</x:v>
      </x:c>
      <x:c r="F56" s="5">
        <x:f t="shared" si="7"/>
        <x:v>0</x:v>
      </x:c>
      <x:c r="G56" s="6"/>
      <x:c r="H56" s="299"/>
      <x:c r="I56" s="3"/>
      <x:c r="J56" s="3"/>
      <x:c r="K56" s="4"/>
      <x:c r="L56" s="4">
        <x:f>+K56*0.1</x:f>
        <x:v>0</x:v>
      </x:c>
      <x:c r="M56" s="5">
        <x:f t="shared" si="10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1"/>
        <x:v>0</x:v>
      </x:c>
      <x:c r="F57" s="5">
        <x:f t="shared" si="7"/>
        <x:v>0</x:v>
      </x:c>
      <x:c r="G57" s="6"/>
      <x:c r="H57" s="299"/>
      <x:c r="I57" s="3"/>
      <x:c r="J57" s="3"/>
      <x:c r="K57" s="4"/>
      <x:c r="L57" s="4">
        <x:f>+K57*0.1</x:f>
        <x:v>0</x:v>
      </x:c>
      <x:c r="M57" s="5">
        <x:f t="shared" si="10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>+K58*0.1</x:f>
        <x:v>0</x:v>
      </x:c>
      <x:c r="M58" s="5">
        <x:f t="shared" si="10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8157680</x:v>
      </x:c>
      <x:c r="E59" s="9">
        <x:f>SUM(E44:E58)</x:f>
        <x:v>815768</x:v>
      </x:c>
      <x:c r="F59" s="10">
        <x:f>SUM(F44:F58)</x:f>
        <x:v>8973448</x:v>
      </x:c>
      <x:c r="G59" s="11"/>
      <x:c r="H59" s="7"/>
      <x:c r="I59" s="8"/>
      <x:c r="J59" s="8"/>
      <x:c r="K59" s="9">
        <x:f>SUM(K44:K58)</x:f>
        <x:v>10826850</x:v>
      </x:c>
      <x:c r="L59" s="9">
        <x:f>SUM(L44:L58)</x:f>
        <x:v>982685</x:v>
      </x:c>
      <x:c r="M59" s="10">
        <x:f>SUM(M44:M58)</x:f>
        <x:v>11809535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1095</x:v>
      </x:c>
      <x:c r="D60" s="44">
        <x:v>17390000</x:v>
      </x:c>
      <x:c r="E60" s="44"/>
      <x:c r="F60" s="45">
        <x:f>+D60+E60</x:f>
        <x:v>17390000</x:v>
      </x:c>
      <x:c r="G60" s="37"/>
      <x:c r="H60" s="301" t="s">
        <x:v>153</x:v>
      </x:c>
      <x:c r="I60" s="3" t="s">
        <x:v>1677</x:v>
      </x:c>
      <x:c r="J60" s="3" t="s">
        <x:v>1096</x:v>
      </x:c>
      <x:c r="K60" s="4">
        <x:v>11510000</x:v>
      </x:c>
      <x:c r="L60" s="4"/>
      <x:c r="M60" s="5">
        <x:f>+K60+L60</x:f>
        <x:v>11510000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17390000</x:v>
      </x:c>
      <x:c r="E64" s="9">
        <x:f>SUM(E60:E63)</x:f>
        <x:v>0</x:v>
      </x:c>
      <x:c r="F64" s="10">
        <x:f>SUM(F60:F63)</x:f>
        <x:v>17390000</x:v>
      </x:c>
      <x:c r="G64" s="11"/>
      <x:c r="H64" s="7"/>
      <x:c r="I64" s="8"/>
      <x:c r="J64" s="8"/>
      <x:c r="K64" s="9">
        <x:f>SUM(K60:K63)</x:f>
        <x:v>11510000</x:v>
      </x:c>
      <x:c r="L64" s="9">
        <x:f>SUM(L60:L63)</x:f>
        <x:v>0</x:v>
      </x:c>
      <x:c r="M64" s="10">
        <x:f>SUM(M60:M63)</x:f>
        <x:v>11510000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260000</x:v>
      </x:c>
      <x:c r="E65" s="4">
        <x:f>+D65*0.1</x:f>
        <x:v>26000</x:v>
      </x:c>
      <x:c r="F65" s="5">
        <x:f>+D65+E65</x:f>
        <x:v>286000</x:v>
      </x:c>
      <x:c r="G65" s="6"/>
      <x:c r="H65" s="301" t="s">
        <x:v>187</x:v>
      </x:c>
      <x:c r="I65" s="3" t="s">
        <x:v>1040</x:v>
      </x:c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260000</x:v>
      </x:c>
      <x:c r="E69" s="9">
        <x:f>SUM(E65:E68)</x:f>
        <x:v>26000</x:v>
      </x:c>
      <x:c r="F69" s="10">
        <x:f>SUM(F65:F68)</x:f>
        <x:v>286000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>
        <x:v>1214610</x:v>
      </x:c>
      <x:c r="L70" s="4"/>
      <x:c r="M70" s="5">
        <x:f t="shared" ref="M70:M77" si="12">+K70+L70</x:f>
        <x:v>1214610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493350</x:v>
      </x:c>
      <x:c r="E71" s="4"/>
      <x:c r="F71" s="5">
        <x:f t="shared" ref="F71:F79" si="13">+D71+E71</x:f>
        <x:v>493350</x:v>
      </x:c>
      <x:c r="G71" s="6"/>
      <x:c r="H71" s="299"/>
      <x:c r="I71" s="3" t="s">
        <x:v>919</x:v>
      </x:c>
      <x:c r="J71" s="3" t="s">
        <x:v>914</x:v>
      </x:c>
      <x:c r="K71" s="4">
        <x:v>40000</x:v>
      </x:c>
      <x:c r="L71" s="4">
        <x:f>+K71*0.1</x:f>
        <x:v>4000</x:v>
      </x:c>
      <x:c r="M71" s="5">
        <x:f t="shared" si="12"/>
        <x:v>44000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>
        <x:v>42000</x:v>
      </x:c>
      <x:c r="E72" s="4">
        <x:f>+D72*0.1</x:f>
        <x:v>4200</x:v>
      </x:c>
      <x:c r="F72" s="5">
        <x:f t="shared" si="13"/>
        <x:v>46200</x:v>
      </x:c>
      <x:c r="G72" s="6"/>
      <x:c r="H72" s="299"/>
      <x:c r="I72" s="3" t="s">
        <x:v>926</x:v>
      </x:c>
      <x:c r="J72" s="3" t="s">
        <x:v>927</x:v>
      </x:c>
      <x:c r="K72" s="4">
        <x:v>367870</x:v>
      </x:c>
      <x:c r="L72" s="4"/>
      <x:c r="M72" s="5">
        <x:f t="shared" si="12"/>
        <x:v>367870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3"/>
        <x:v>110000</x:v>
      </x:c>
      <x:c r="G73" s="6"/>
      <x:c r="H73" s="299"/>
      <x:c r="I73" s="3" t="s">
        <x:v>945</x:v>
      </x:c>
      <x:c r="J73" s="3" t="s">
        <x:v>962</x:v>
      </x:c>
      <x:c r="K73" s="4">
        <x:v>270000</x:v>
      </x:c>
      <x:c r="L73" s="4">
        <x:f>+K73*0.1</x:f>
        <x:v>27000</x:v>
      </x:c>
      <x:c r="M73" s="5">
        <x:f t="shared" si="12"/>
        <x:v>297000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475000</x:v>
      </x:c>
      <x:c r="E74" s="4">
        <x:f>D74*0.1</x:f>
        <x:v>47500</x:v>
      </x:c>
      <x:c r="F74" s="5">
        <x:f t="shared" si="13"/>
        <x:v>522500</x:v>
      </x:c>
      <x:c r="G74" s="6"/>
      <x:c r="H74" s="299"/>
      <x:c r="I74" s="3" t="s">
        <x:v>1038</x:v>
      </x:c>
      <x:c r="J74" s="3" t="s">
        <x:v>167</x:v>
      </x:c>
      <x:c r="K74" s="4">
        <x:v>45000</x:v>
      </x:c>
      <x:c r="L74" s="4">
        <x:f>+K74*0.1</x:f>
        <x:v>4500</x:v>
      </x:c>
      <x:c r="M74" s="5">
        <x:f t="shared" si="12"/>
        <x:v>49500</x:v>
      </x:c>
      <x:c r="N74" s="6"/>
    </x:row>
    <x:row r="75" spans="1:14" ht="20.100000000000001" customHeight="1">
      <x:c r="A75" s="299"/>
      <x:c r="B75" s="3"/>
      <x:c r="C75" s="3"/>
      <x:c r="D75" s="4"/>
      <x:c r="E75" s="4"/>
      <x:c r="F75" s="5">
        <x:f t="shared" si="13"/>
        <x:v>0</x:v>
      </x:c>
      <x:c r="G75" s="6"/>
      <x:c r="H75" s="299"/>
      <x:c r="I75" s="3"/>
      <x:c r="J75" s="3"/>
      <x:c r="K75" s="4"/>
      <x:c r="L75" s="4"/>
      <x:c r="M75" s="5">
        <x:f t="shared" si="12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3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2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3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2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3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3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1560350</x:v>
      </x:c>
      <x:c r="E80" s="9">
        <x:f>SUM(E70:E79)</x:f>
        <x:v>106700</x:v>
      </x:c>
      <x:c r="F80" s="10">
        <x:f>SUM(F70:F79)</x:f>
        <x:v>1667050</x:v>
      </x:c>
      <x:c r="G80" s="11"/>
      <x:c r="H80" s="7"/>
      <x:c r="I80" s="8"/>
      <x:c r="J80" s="8"/>
      <x:c r="K80" s="9">
        <x:f>SUM(K70:K79)</x:f>
        <x:v>1937480</x:v>
      </x:c>
      <x:c r="L80" s="9">
        <x:f>SUM(L70:L79)</x:f>
        <x:v>35500</x:v>
      </x:c>
      <x:c r="M80" s="10">
        <x:f>SUM(M70:M79)</x:f>
        <x:v>1972980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27368030</x:v>
      </x:c>
      <x:c r="E81" s="14">
        <x:f>+E59+E64+E69+E80</x:f>
        <x:v>948468</x:v>
      </x:c>
      <x:c r="F81" s="15">
        <x:f>+F59+F64+F69+F80</x:f>
        <x:v>28316498</x:v>
      </x:c>
      <x:c r="G81" s="16"/>
      <x:c r="H81" s="12"/>
      <x:c r="I81" s="13"/>
      <x:c r="J81" s="13"/>
      <x:c r="K81" s="14">
        <x:f>+K59+K64+K69+K80</x:f>
        <x:v>24274330</x:v>
      </x:c>
      <x:c r="L81" s="14">
        <x:f>+L59+L64+L69+L80</x:f>
        <x:v>1018185</x:v>
      </x:c>
      <x:c r="M81" s="15">
        <x:f>+M59+M64+M69+M80</x:f>
        <x:v>25292515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-5020454</x:v>
      </x:c>
      <x:c r="E82" s="25">
        <x:f>+E43-E81</x:f>
        <x:v>703956</x:v>
      </x:c>
      <x:c r="F82" s="26">
        <x:f>+F43-F81</x:f>
        <x:v>-4316498</x:v>
      </x:c>
      <x:c r="G82" s="27"/>
      <x:c r="H82" s="23"/>
      <x:c r="I82" s="24"/>
      <x:c r="J82" s="24"/>
      <x:c r="K82" s="25">
        <x:f>+K43-K81</x:f>
        <x:v>7885670</x:v>
      </x:c>
      <x:c r="L82" s="25">
        <x:f>+L43-L81</x:f>
        <x:v>-642185</x:v>
      </x:c>
      <x:c r="M82" s="26">
        <x:f>+M43-M81</x:f>
        <x:v>7243485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98" t="s">
        <x:v>144</x:v>
      </x:c>
      <x:c r="C84" s="98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98" t="s">
        <x:v>144</x:v>
      </x:c>
      <x:c r="J84" s="98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97" t="s">
        <x:v>151</x:v>
      </x:c>
      <x:c r="B85" s="38" t="s">
        <x:v>1679</x:v>
      </x:c>
      <x:c r="C85" s="38" t="s">
        <x:v>1030</x:v>
      </x:c>
      <x:c r="D85" s="39">
        <x:v>22758060</x:v>
      </x:c>
      <x:c r="E85" s="39">
        <x:v>241940</x:v>
      </x:c>
      <x:c r="F85" s="40">
        <x:f>+D85+E85</x:f>
        <x:v>23000000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44609489</x:v>
      </x:c>
      <x:c r="L85" s="39">
        <x:v>390511</x:v>
      </x:c>
      <x:c r="M85" s="40">
        <x:f>+K85+L85</x:f>
        <x:v>45000000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376</x:v>
      </x:c>
      <x:c r="D86" s="20">
        <x:v>3454500</x:v>
      </x:c>
      <x:c r="E86" s="20">
        <x:f>+D86*0.1</x:f>
        <x:v>345450</x:v>
      </x:c>
      <x:c r="F86" s="21">
        <x:f>+D86+E86</x:f>
        <x:v>3799950</x:v>
      </x:c>
      <x:c r="G86" s="22"/>
      <x:c r="H86" s="298" t="s">
        <x:v>148</x:v>
      </x:c>
      <x:c r="I86" s="19" t="s">
        <x:v>838</x:v>
      </x:c>
      <x:c r="J86" s="19" t="s">
        <x:v>1116</x:v>
      </x:c>
      <x:c r="K86" s="20">
        <x:v>5123330</x:v>
      </x:c>
      <x:c r="L86" s="20">
        <x:f>+K86*0.1</x:f>
        <x:v>512333</x:v>
      </x:c>
      <x:c r="M86" s="21">
        <x:f t="shared" ref="M86:M100" si="14">+K86+L86</x:f>
        <x:v>5635663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>
        <x:v>1490360</x:v>
      </x:c>
      <x:c r="E87" s="4">
        <x:f>+D87*0.1</x:f>
        <x:v>149036</x:v>
      </x:c>
      <x:c r="F87" s="5">
        <x:f>+D87+E87</x:f>
        <x:v>1639396</x:v>
      </x:c>
      <x:c r="G87" s="6"/>
      <x:c r="H87" s="299"/>
      <x:c r="I87" s="3" t="s">
        <x:v>867</x:v>
      </x:c>
      <x:c r="J87" s="3" t="s">
        <x:v>72</x:v>
      </x:c>
      <x:c r="K87" s="4">
        <x:v>13068780</x:v>
      </x:c>
      <x:c r="L87" s="4">
        <x:f>K87*0.1</x:f>
        <x:v>1306878</x:v>
      </x:c>
      <x:c r="M87" s="5">
        <x:f t="shared" si="14"/>
        <x:v>14375658</x:v>
      </x:c>
      <x:c r="N87" s="6"/>
    </x:row>
    <x:row r="88" spans="1:14" ht="20.100000000000001" customHeight="1">
      <x:c r="A88" s="299"/>
      <x:c r="B88" s="3" t="s">
        <x:v>907</x:v>
      </x:c>
      <x:c r="C88" s="3"/>
      <x:c r="D88" s="4"/>
      <x:c r="E88" s="4">
        <x:f>+D88*0.1</x:f>
        <x:v>0</x:v>
      </x:c>
      <x:c r="F88" s="5">
        <x:f>+D88+E88</x:f>
        <x:v>0</x:v>
      </x:c>
      <x:c r="G88" s="6"/>
      <x:c r="H88" s="299"/>
      <x:c r="I88" s="3" t="s">
        <x:v>907</x:v>
      </x:c>
      <x:c r="J88" s="3"/>
      <x:c r="K88" s="4"/>
      <x:c r="L88" s="4">
        <x:f t="shared" ref="L88:L100" si="15">+K88*0.1</x:f>
        <x:v>0</x:v>
      </x:c>
      <x:c r="M88" s="5">
        <x:f t="shared" si="14"/>
        <x:v>0</x:v>
      </x:c>
      <x:c r="N88" s="6"/>
    </x:row>
    <x:row r="89" spans="1:14" ht="20.100000000000001" customHeight="1">
      <x:c r="A89" s="299"/>
      <x:c r="B89" s="3" t="s">
        <x:v>840</x:v>
      </x:c>
      <x:c r="C89" s="3"/>
      <x:c r="D89" s="4"/>
      <x:c r="E89" s="4">
        <x:f>+INT(D89*0.1)</x:f>
        <x:v>0</x:v>
      </x:c>
      <x:c r="F89" s="5">
        <x:f t="shared" ref="F89:F99" si="16">+D89+E89</x:f>
        <x:v>0</x:v>
      </x:c>
      <x:c r="G89" s="6"/>
      <x:c r="H89" s="299"/>
      <x:c r="I89" s="3" t="s">
        <x:v>1058</x:v>
      </x:c>
      <x:c r="J89" s="3" t="s">
        <x:v>386</x:v>
      </x:c>
      <x:c r="K89" s="4">
        <x:v>1865500</x:v>
      </x:c>
      <x:c r="L89" s="4">
        <x:f t="shared" si="15"/>
        <x:v>186550</x:v>
      </x:c>
      <x:c r="M89" s="5">
        <x:f t="shared" si="14"/>
        <x:v>2052050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ref="E90:E99" si="17">+INT(D90*0.1)</x:f>
        <x:v>0</x:v>
      </x:c>
      <x:c r="F90" s="5">
        <x:f t="shared" si="16"/>
        <x:v>0</x:v>
      </x:c>
      <x:c r="G90" s="6"/>
      <x:c r="H90" s="299"/>
      <x:c r="I90" s="3" t="s">
        <x:v>976</x:v>
      </x:c>
      <x:c r="J90" s="3" t="s">
        <x:v>694</x:v>
      </x:c>
      <x:c r="K90" s="4">
        <x:v>891400</x:v>
      </x:c>
      <x:c r="L90" s="4">
        <x:f>+K90*0.1</x:f>
        <x:v>89140</x:v>
      </x:c>
      <x:c r="M90" s="5">
        <x:f t="shared" si="14"/>
        <x:v>980540</x:v>
      </x:c>
      <x:c r="N90" s="6"/>
    </x:row>
    <x:row r="91" spans="1:14" ht="20.100000000000001" customHeight="1">
      <x:c r="A91" s="299"/>
      <x:c r="B91" s="3" t="s">
        <x:v>967</x:v>
      </x:c>
      <x:c r="C91" s="3" t="s">
        <x:v>1106</x:v>
      </x:c>
      <x:c r="D91" s="4">
        <x:v>66000</x:v>
      </x:c>
      <x:c r="E91" s="4">
        <x:f t="shared" si="17"/>
        <x:v>6600</x:v>
      </x:c>
      <x:c r="F91" s="5">
        <x:f t="shared" si="16"/>
        <x:v>72600</x:v>
      </x:c>
      <x:c r="G91" s="6"/>
      <x:c r="H91" s="299"/>
      <x:c r="I91" s="3" t="s">
        <x:v>967</x:v>
      </x:c>
      <x:c r="J91" s="3" t="s">
        <x:v>1123</x:v>
      </x:c>
      <x:c r="K91" s="4">
        <x:v>66000</x:v>
      </x:c>
      <x:c r="L91" s="4">
        <x:f>+K91*0.1</x:f>
        <x:v>6600</x:v>
      </x:c>
      <x:c r="M91" s="5">
        <x:f t="shared" si="14"/>
        <x:v>72600</x:v>
      </x:c>
      <x:c r="N91" s="6"/>
    </x:row>
    <x:row r="92" spans="1:14" ht="20.100000000000001" customHeight="1">
      <x:c r="A92" s="299"/>
      <x:c r="B92" s="3" t="s">
        <x:v>846</x:v>
      </x:c>
      <x:c r="C92" s="3" t="s">
        <x:v>700</x:v>
      </x:c>
      <x:c r="D92" s="4">
        <x:v>31100</x:v>
      </x:c>
      <x:c r="E92" s="4">
        <x:f t="shared" si="17"/>
        <x:v>3110</x:v>
      </x:c>
      <x:c r="F92" s="5">
        <x:f t="shared" si="16"/>
        <x:v>34210</x:v>
      </x:c>
      <x:c r="G92" s="6"/>
      <x:c r="H92" s="299"/>
      <x:c r="I92" s="3" t="s">
        <x:v>1705</x:v>
      </x:c>
      <x:c r="J92" s="3" t="s">
        <x:v>1113</x:v>
      </x:c>
      <x:c r="K92" s="4">
        <x:v>520000</x:v>
      </x:c>
      <x:c r="L92" s="4">
        <x:f>+K92*0.1</x:f>
        <x:v>52000</x:v>
      </x:c>
      <x:c r="M92" s="5">
        <x:f>+K92+L92</x:f>
        <x:v>572000</x:v>
      </x:c>
      <x:c r="N92" s="6"/>
    </x:row>
    <x:row r="93" spans="1:14" ht="20.100000000000001" customHeight="1">
      <x:c r="A93" s="299"/>
      <x:c r="B93" s="3" t="s">
        <x:v>846</x:v>
      </x:c>
      <x:c r="C93" s="3" t="s">
        <x:v>1132</x:v>
      </x:c>
      <x:c r="D93" s="4">
        <x:v>650200</x:v>
      </x:c>
      <x:c r="E93" s="4">
        <x:f t="shared" si="17"/>
        <x:v>65020</x:v>
      </x:c>
      <x:c r="F93" s="5">
        <x:f t="shared" si="16"/>
        <x:v>715220</x:v>
      </x:c>
      <x:c r="G93" s="6"/>
      <x:c r="H93" s="299"/>
      <x:c r="I93" s="3" t="s">
        <x:v>1119</x:v>
      </x:c>
      <x:c r="J93" s="3" t="s">
        <x:v>396</x:v>
      </x:c>
      <x:c r="K93" s="4">
        <x:v>620750</x:v>
      </x:c>
      <x:c r="L93" s="4">
        <x:f>+K93*0.1</x:f>
        <x:v>62075</x:v>
      </x:c>
      <x:c r="M93" s="5">
        <x:f>+K93+L93</x:f>
        <x:v>682825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7"/>
        <x:v>0</x:v>
      </x:c>
      <x:c r="F94" s="5">
        <x:f t="shared" si="16"/>
        <x:v>0</x:v>
      </x:c>
      <x:c r="G94" s="6"/>
      <x:c r="H94" s="299"/>
      <x:c r="I94" s="3" t="s">
        <x:v>846</x:v>
      </x:c>
      <x:c r="J94" s="3" t="s">
        <x:v>686</x:v>
      </x:c>
      <x:c r="K94" s="4">
        <x:v>1146958</x:v>
      </x:c>
      <x:c r="L94" s="4">
        <x:f t="shared" si="15"/>
        <x:v>114695.8</x:v>
      </x:c>
      <x:c r="M94" s="5">
        <x:f t="shared" si="14"/>
        <x:v>1261653.8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7"/>
        <x:v>0</x:v>
      </x:c>
      <x:c r="F95" s="5">
        <x:f t="shared" si="16"/>
        <x:v>0</x:v>
      </x:c>
      <x:c r="G95" s="6"/>
      <x:c r="H95" s="299"/>
      <x:c r="I95" s="3" t="s">
        <x:v>938</x:v>
      </x:c>
      <x:c r="J95" s="3" t="s">
        <x:v>953</x:v>
      </x:c>
      <x:c r="K95" s="4"/>
      <x:c r="L95" s="4">
        <x:f t="shared" si="15"/>
        <x:v>0</x:v>
      </x:c>
      <x:c r="M95" s="5">
        <x:f t="shared" si="14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7"/>
        <x:v>0</x:v>
      </x:c>
      <x:c r="F96" s="5">
        <x:f t="shared" si="16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4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7"/>
        <x:v>0</x:v>
      </x:c>
      <x:c r="F97" s="5">
        <x:f t="shared" si="16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4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7"/>
        <x:v>0</x:v>
      </x:c>
      <x:c r="F98" s="5">
        <x:f t="shared" si="16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4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7"/>
        <x:v>0</x:v>
      </x:c>
      <x:c r="F99" s="5">
        <x:f t="shared" si="16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4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5"/>
        <x:v>0</x:v>
      </x:c>
      <x:c r="M100" s="5">
        <x:f t="shared" si="14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5692160</x:v>
      </x:c>
      <x:c r="E101" s="9">
        <x:f>SUM(E86:E100)</x:f>
        <x:v>569216</x:v>
      </x:c>
      <x:c r="F101" s="10">
        <x:f>SUM(F86:F100)</x:f>
        <x:v>6261376</x:v>
      </x:c>
      <x:c r="G101" s="11"/>
      <x:c r="H101" s="7"/>
      <x:c r="I101" s="8"/>
      <x:c r="J101" s="8"/>
      <x:c r="K101" s="9">
        <x:f>SUM(K86:K100)</x:f>
        <x:v>23302718</x:v>
      </x:c>
      <x:c r="L101" s="9">
        <x:f>SUM(L86:L100)</x:f>
        <x:v>2330271.7999999998</x:v>
      </x:c>
      <x:c r="M101" s="10">
        <x:f>SUM(M86:M100)</x:f>
        <x:v>25632989.800000001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1114</x:v>
      </x:c>
      <x:c r="D102" s="44">
        <x:v>20500000</x:v>
      </x:c>
      <x:c r="E102" s="44"/>
      <x:c r="F102" s="45">
        <x:f>+D102+E102</x:f>
        <x:v>20500000</x:v>
      </x:c>
      <x:c r="G102" s="37"/>
      <x:c r="H102" s="301" t="s">
        <x:v>153</x:v>
      </x:c>
      <x:c r="I102" s="3" t="s">
        <x:v>1677</x:v>
      </x:c>
      <x:c r="J102" s="3" t="s">
        <x:v>1129</x:v>
      </x:c>
      <x:c r="K102" s="4">
        <x:v>19550000</x:v>
      </x:c>
      <x:c r="L102" s="4"/>
      <x:c r="M102" s="5">
        <x:f>+K102+L102</x:f>
        <x:v>19550000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 t="s">
        <x:v>695</x:v>
      </x:c>
      <x:c r="J103" s="3" t="s">
        <x:v>1127</x:v>
      </x:c>
      <x:c r="K103" s="4">
        <x:v>12120000</x:v>
      </x:c>
      <x:c r="L103" s="4"/>
      <x:c r="M103" s="5">
        <x:f>+K103+L103</x:f>
        <x:v>12120000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20500000</x:v>
      </x:c>
      <x:c r="E106" s="9">
        <x:f>SUM(E102:E105)</x:f>
        <x:v>0</x:v>
      </x:c>
      <x:c r="F106" s="10">
        <x:f>SUM(F102:F105)</x:f>
        <x:v>20500000</x:v>
      </x:c>
      <x:c r="G106" s="11"/>
      <x:c r="H106" s="7"/>
      <x:c r="I106" s="8"/>
      <x:c r="J106" s="8"/>
      <x:c r="K106" s="9">
        <x:f>SUM(K102:K105)</x:f>
        <x:v>31670000</x:v>
      </x:c>
      <x:c r="L106" s="9">
        <x:f>SUM(L102:L105)</x:f>
        <x:v>0</x:v>
      </x:c>
      <x:c r="M106" s="10">
        <x:f>SUM(M102:M105)</x:f>
        <x:v>31670000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 t="s">
        <x:v>1124</x:v>
      </x:c>
      <x:c r="J107" s="3" t="s">
        <x:v>1126</x:v>
      </x:c>
      <x:c r="K107" s="4">
        <x:v>290000</x:v>
      </x:c>
      <x:c r="L107" s="4">
        <x:f>+K107*0.1</x:f>
        <x:v>29000</x:v>
      </x:c>
      <x:c r="M107" s="5">
        <x:f>+K107+L107</x:f>
        <x:v>319000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 t="s">
        <x:v>1089</x:v>
      </x:c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290000</x:v>
      </x:c>
      <x:c r="L111" s="9">
        <x:f>SUM(L107:L110)</x:f>
        <x:v>29000</x:v>
      </x:c>
      <x:c r="M111" s="10">
        <x:f>SUM(M107:M110)</x:f>
        <x:v>319000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535450</x:v>
      </x:c>
      <x:c r="L112" s="4"/>
      <x:c r="M112" s="5">
        <x:f t="shared" ref="M112:M119" si="18">+K112+L112</x:f>
        <x:v>535450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1758</x:v>
      </x:c>
      <x:c r="K113" s="4">
        <x:v>100000</x:v>
      </x:c>
      <x:c r="L113" s="4">
        <x:f>+K113*0.1</x:f>
        <x:v>10000</x:v>
      </x:c>
      <x:c r="M113" s="5">
        <x:f t="shared" si="18"/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88500</x:v>
      </x:c>
      <x:c r="E114" s="4">
        <x:f>+D114*0.1</x:f>
        <x:v>8850</x:v>
      </x:c>
      <x:c r="F114" s="5">
        <x:f>+D114+E114</x:f>
        <x:v>97350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 t="shared" si="18"/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600000</x:v>
      </x:c>
      <x:c r="E115" s="4">
        <x:f>+D115*0.1</x:f>
        <x:v>60000</x:v>
      </x:c>
      <x:c r="F115" s="5">
        <x:f t="shared" ref="F115:F121" si="19">+D115+E115</x:f>
        <x:v>660000</x:v>
      </x:c>
      <x:c r="G115" s="6"/>
      <x:c r="H115" s="299"/>
      <x:c r="I115" s="3" t="s">
        <x:v>633</x:v>
      </x:c>
      <x:c r="J115" s="3" t="s">
        <x:v>962</x:v>
      </x:c>
      <x:c r="K115" s="4">
        <x:v>906000</x:v>
      </x:c>
      <x:c r="L115" s="4">
        <x:f>+K115*0.1</x:f>
        <x:v>90600</x:v>
      </x:c>
      <x:c r="M115" s="5">
        <x:f t="shared" si="18"/>
        <x:v>996600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1152800</x:v>
      </x:c>
      <x:c r="E116" s="4"/>
      <x:c r="F116" s="5">
        <x:f t="shared" si="19"/>
        <x:v>1152800</x:v>
      </x:c>
      <x:c r="G116" s="6"/>
      <x:c r="H116" s="299"/>
      <x:c r="I116" s="3" t="s">
        <x:v>1049</x:v>
      </x:c>
      <x:c r="J116" s="3" t="s">
        <x:v>167</x:v>
      </x:c>
      <x:c r="K116" s="4">
        <x:v>70000</x:v>
      </x:c>
      <x:c r="L116" s="4">
        <x:f>+K116*0.1</x:f>
        <x:v>7000</x:v>
      </x:c>
      <x:c r="M116" s="5">
        <x:f t="shared" si="18"/>
        <x:v>77000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19"/>
        <x:v>110000</x:v>
      </x:c>
      <x:c r="G117" s="6"/>
      <x:c r="H117" s="299"/>
      <x:c r="I117" s="3"/>
      <x:c r="J117" s="3"/>
      <x:c r="K117" s="4"/>
      <x:c r="L117" s="4"/>
      <x:c r="M117" s="5">
        <x:f t="shared" si="18"/>
        <x:v>0</x:v>
      </x:c>
      <x:c r="N117" s="6"/>
    </x:row>
    <x:row r="118" spans="1:14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 t="shared" si="19"/>
        <x:v>0</x:v>
      </x:c>
      <x:c r="G118" s="6"/>
      <x:c r="H118" s="299"/>
      <x:c r="I118" s="3"/>
      <x:c r="J118" s="3"/>
      <x:c r="K118" s="4"/>
      <x:c r="L118" s="4"/>
      <x:c r="M118" s="5">
        <x:f t="shared" si="18"/>
        <x:v>0</x:v>
      </x:c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9"/>
        <x:v>0</x:v>
      </x:c>
      <x:c r="G119" s="6"/>
      <x:c r="H119" s="299"/>
      <x:c r="I119" s="3"/>
      <x:c r="J119" s="3"/>
      <x:c r="K119" s="4"/>
      <x:c r="L119" s="4"/>
      <x:c r="M119" s="5">
        <x:f t="shared" si="18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9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9"/>
        <x:v>0</x:v>
      </x:c>
      <x:c r="G121" s="6"/>
      <x:c r="H121" s="300"/>
      <x:c r="I121" s="3"/>
      <x:c r="J121" s="3"/>
      <x:c r="K121" s="4"/>
      <x:c r="L121" s="4"/>
      <x:c r="M121" s="5">
        <x:f>+K121+L121</x:f>
        <x:v>0</x:v>
      </x:c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2489300</x:v>
      </x:c>
      <x:c r="E122" s="9">
        <x:f>SUM(E112:E121)</x:f>
        <x:v>128850</x:v>
      </x:c>
      <x:c r="F122" s="10">
        <x:f>SUM(F112:F121)</x:f>
        <x:v>2618150</x:v>
      </x:c>
      <x:c r="G122" s="11"/>
      <x:c r="H122" s="7"/>
      <x:c r="I122" s="8"/>
      <x:c r="J122" s="8"/>
      <x:c r="K122" s="9">
        <x:f>SUM(K112:K121)</x:f>
        <x:v>1691450</x:v>
      </x:c>
      <x:c r="L122" s="9">
        <x:f>SUM(L112:L121)</x:f>
        <x:v>115600</x:v>
      </x:c>
      <x:c r="M122" s="10">
        <x:f>SUM(M112:M121)</x:f>
        <x:v>1807050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28681460</x:v>
      </x:c>
      <x:c r="E123" s="14">
        <x:f>+E101+E106+E111+E122</x:f>
        <x:v>698066</x:v>
      </x:c>
      <x:c r="F123" s="15">
        <x:f>+F101+F106+F111+F122</x:f>
        <x:v>29379526</x:v>
      </x:c>
      <x:c r="G123" s="16"/>
      <x:c r="H123" s="12"/>
      <x:c r="I123" s="13"/>
      <x:c r="J123" s="13"/>
      <x:c r="K123" s="14">
        <x:f>+K101+K106+K111+K122</x:f>
        <x:v>56954168</x:v>
      </x:c>
      <x:c r="L123" s="14">
        <x:f>+L101+L106+L111+L122</x:f>
        <x:v>2474871.7999999998</x:v>
      </x:c>
      <x:c r="M123" s="15">
        <x:f>+M101+M106+M111+M122</x:f>
        <x:v>59429039.799999997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-5923400</x:v>
      </x:c>
      <x:c r="E124" s="25">
        <x:f>+E85-E123</x:f>
        <x:v>-456126</x:v>
      </x:c>
      <x:c r="F124" s="26">
        <x:f>+F85-F123</x:f>
        <x:v>-6379526</x:v>
      </x:c>
      <x:c r="G124" s="27"/>
      <x:c r="H124" s="23"/>
      <x:c r="I124" s="24"/>
      <x:c r="J124" s="24"/>
      <x:c r="K124" s="25">
        <x:f>+K85-K123</x:f>
        <x:v>-12344679</x:v>
      </x:c>
      <x:c r="L124" s="25">
        <x:f>+L85-L123</x:f>
        <x:v>-2084360.7999999998</x:v>
      </x:c>
      <x:c r="M124" s="26">
        <x:f>+M85-M123</x:f>
        <x:v>-14429039.799999997</x:v>
      </x:c>
      <x:c r="N124" s="27"/>
    </x:row>
    <x:row r="125" spans="1:14" ht="20.10000000000000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customHeight="1">
      <x:c r="A126" s="29" t="s">
        <x:v>147</x:v>
      </x:c>
      <x:c r="B126" s="98" t="s">
        <x:v>144</x:v>
      </x:c>
      <x:c r="C126" s="98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98" t="s">
        <x:v>144</x:v>
      </x:c>
      <x:c r="J126" s="98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customHeight="1">
      <x:c r="A127" s="97" t="s">
        <x:v>151</x:v>
      </x:c>
      <x:c r="B127" s="38" t="s">
        <x:v>1679</x:v>
      </x:c>
      <x:c r="C127" s="38" t="s">
        <x:v>1076</x:v>
      </x:c>
      <x:c r="D127" s="39">
        <x:v>2570000</x:v>
      </x:c>
      <x:c r="E127" s="39">
        <x:v>257000</x:v>
      </x:c>
      <x:c r="F127" s="40">
        <x:f t="shared" ref="F127:F141" si="20">+D127+E127</x:f>
        <x:v>2827000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customHeight="1">
      <x:c r="A128" s="298" t="s">
        <x:v>148</x:v>
      </x:c>
      <x:c r="B128" s="54" t="s">
        <x:v>1692</x:v>
      </x:c>
      <x:c r="C128" s="54" t="s">
        <x:v>1142</x:v>
      </x:c>
      <x:c r="D128" s="93">
        <x:v>85900</x:v>
      </x:c>
      <x:c r="E128" s="93">
        <x:f>+D128*0.1</x:f>
        <x:v>8590</x:v>
      </x:c>
      <x:c r="F128" s="94">
        <x:f t="shared" si="20"/>
        <x:v>94490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1">+K128+L128</x:f>
        <x:v>0</x:v>
      </x:c>
      <x:c r="N128" s="22"/>
    </x:row>
    <x:row r="129" spans="1:14" ht="20.10000000000000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20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1"/>
        <x:v>0</x:v>
      </x:c>
      <x:c r="N129" s="6"/>
    </x:row>
    <x:row r="130" spans="1:14" ht="20.10000000000000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20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1"/>
        <x:v>0</x:v>
      </x:c>
      <x:c r="N130" s="6"/>
    </x:row>
    <x:row r="131" spans="1:14" ht="20.10000000000000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20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1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20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1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 t="shared" ref="E133:E141" si="22">+INT(D133*0.1)</x:f>
        <x:v>0</x:v>
      </x:c>
      <x:c r="F133" s="5">
        <x:f t="shared" si="20"/>
        <x:v>0</x:v>
      </x:c>
      <x:c r="G133" s="6"/>
      <x:c r="H133" s="299"/>
      <x:c r="I133" s="3"/>
      <x:c r="J133" s="3"/>
      <x:c r="K133" s="4"/>
      <x:c r="L133" s="4">
        <x:f t="shared" ref="L133:L142" si="23">+K133*0.1</x:f>
        <x:v>0</x:v>
      </x:c>
      <x:c r="M133" s="5">
        <x:f t="shared" si="21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 t="shared" si="22"/>
        <x:v>0</x:v>
      </x:c>
      <x:c r="F134" s="5">
        <x:f t="shared" si="20"/>
        <x:v>0</x:v>
      </x:c>
      <x:c r="G134" s="6"/>
      <x:c r="H134" s="299"/>
      <x:c r="I134" s="3"/>
      <x:c r="J134" s="3"/>
      <x:c r="K134" s="4"/>
      <x:c r="L134" s="4">
        <x:f t="shared" si="23"/>
        <x:v>0</x:v>
      </x:c>
      <x:c r="M134" s="5">
        <x:f t="shared" si="21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si="22"/>
        <x:v>0</x:v>
      </x:c>
      <x:c r="F135" s="5">
        <x:f t="shared" si="20"/>
        <x:v>0</x:v>
      </x:c>
      <x:c r="G135" s="6"/>
      <x:c r="H135" s="299"/>
      <x:c r="I135" s="3"/>
      <x:c r="J135" s="3"/>
      <x:c r="K135" s="4"/>
      <x:c r="L135" s="4">
        <x:f t="shared" si="23"/>
        <x:v>0</x:v>
      </x:c>
      <x:c r="M135" s="5">
        <x:f t="shared" si="21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2"/>
        <x:v>0</x:v>
      </x:c>
      <x:c r="F136" s="5">
        <x:f t="shared" si="20"/>
        <x:v>0</x:v>
      </x:c>
      <x:c r="G136" s="6"/>
      <x:c r="H136" s="299"/>
      <x:c r="I136" s="3"/>
      <x:c r="J136" s="3"/>
      <x:c r="K136" s="4"/>
      <x:c r="L136" s="4">
        <x:f t="shared" si="23"/>
        <x:v>0</x:v>
      </x:c>
      <x:c r="M136" s="5">
        <x:f t="shared" si="21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2"/>
        <x:v>0</x:v>
      </x:c>
      <x:c r="F137" s="5">
        <x:f t="shared" si="20"/>
        <x:v>0</x:v>
      </x:c>
      <x:c r="G137" s="6"/>
      <x:c r="H137" s="299"/>
      <x:c r="I137" s="3"/>
      <x:c r="J137" s="3"/>
      <x:c r="K137" s="4"/>
      <x:c r="L137" s="4">
        <x:f t="shared" si="23"/>
        <x:v>0</x:v>
      </x:c>
      <x:c r="M137" s="5">
        <x:f t="shared" si="21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>
        <x:f t="shared" si="22"/>
        <x:v>0</x:v>
      </x:c>
      <x:c r="F138" s="5">
        <x:f t="shared" si="20"/>
        <x:v>0</x:v>
      </x:c>
      <x:c r="G138" s="6"/>
      <x:c r="H138" s="299"/>
      <x:c r="I138" s="3"/>
      <x:c r="J138" s="3"/>
      <x:c r="K138" s="4"/>
      <x:c r="L138" s="4">
        <x:f t="shared" si="23"/>
        <x:v>0</x:v>
      </x:c>
      <x:c r="M138" s="5">
        <x:f t="shared" si="21"/>
        <x:v>0</x:v>
      </x:c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2"/>
        <x:v>0</x:v>
      </x:c>
      <x:c r="F139" s="5">
        <x:f t="shared" si="20"/>
        <x:v>0</x:v>
      </x:c>
      <x:c r="G139" s="6"/>
      <x:c r="H139" s="299"/>
      <x:c r="I139" s="3"/>
      <x:c r="J139" s="3"/>
      <x:c r="K139" s="4"/>
      <x:c r="L139" s="4">
        <x:f t="shared" si="23"/>
        <x:v>0</x:v>
      </x:c>
      <x:c r="M139" s="5">
        <x:f t="shared" si="21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2"/>
        <x:v>0</x:v>
      </x:c>
      <x:c r="F140" s="5">
        <x:f t="shared" si="20"/>
        <x:v>0</x:v>
      </x:c>
      <x:c r="G140" s="6"/>
      <x:c r="H140" s="299"/>
      <x:c r="I140" s="3"/>
      <x:c r="J140" s="3"/>
      <x:c r="K140" s="4"/>
      <x:c r="L140" s="4">
        <x:f t="shared" si="23"/>
        <x:v>0</x:v>
      </x:c>
      <x:c r="M140" s="5">
        <x:f t="shared" si="21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2"/>
        <x:v>0</x:v>
      </x:c>
      <x:c r="F141" s="5">
        <x:f t="shared" si="20"/>
        <x:v>0</x:v>
      </x:c>
      <x:c r="G141" s="6"/>
      <x:c r="H141" s="299"/>
      <x:c r="I141" s="3"/>
      <x:c r="J141" s="3"/>
      <x:c r="K141" s="4"/>
      <x:c r="L141" s="4">
        <x:f t="shared" si="23"/>
        <x:v>0</x:v>
      </x:c>
      <x:c r="M141" s="5">
        <x:f t="shared" si="21"/>
        <x:v>0</x:v>
      </x:c>
      <x:c r="N141" s="6"/>
    </x:row>
    <x:row r="142" spans="1:14" ht="20.10000000000000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3"/>
        <x:v>0</x:v>
      </x:c>
      <x:c r="M142" s="5">
        <x:f t="shared" si="21"/>
        <x:v>0</x:v>
      </x:c>
      <x:c r="N142" s="6"/>
    </x:row>
    <x:row r="143" spans="1:14" ht="20.100000000000001" customHeight="1">
      <x:c r="A143" s="7" t="s">
        <x:v>155</x:v>
      </x:c>
      <x:c r="B143" s="8"/>
      <x:c r="C143" s="8"/>
      <x:c r="D143" s="9">
        <x:f>SUM(D128:D142)</x:f>
        <x:v>85900</x:v>
      </x:c>
      <x:c r="E143" s="9">
        <x:f>SUM(E128:E142)</x:f>
        <x:v>8590</x:v>
      </x:c>
      <x:c r="F143" s="10">
        <x:f>SUM(F128:F142)</x:f>
        <x:v>94490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4">+K154+L154</x:f>
        <x:v>0</x:v>
      </x:c>
      <x:c r="N154" s="6"/>
    </x:row>
    <x:row r="155" spans="1:14" ht="20.10000000000000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4"/>
        <x:v>0</x:v>
      </x:c>
      <x:c r="N155" s="6"/>
    </x:row>
    <x:row r="156" spans="1:14" ht="20.10000000000000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4"/>
        <x:v>0</x:v>
      </x:c>
      <x:c r="N156" s="6"/>
    </x:row>
    <x:row r="157" spans="1:14" ht="20.10000000000000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5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4"/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 t="shared" si="25"/>
        <x:v>0</x:v>
      </x:c>
      <x:c r="G158" s="6"/>
      <x:c r="H158" s="299"/>
      <x:c r="I158" s="3"/>
      <x:c r="J158" s="3"/>
      <x:c r="K158" s="4"/>
      <x:c r="L158" s="4">
        <x:f t="shared" ref="L158:L163" si="26">+K158*0.1</x:f>
        <x:v>0</x:v>
      </x:c>
      <x:c r="M158" s="5">
        <x:f t="shared" si="24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5"/>
        <x:v>0</x:v>
      </x:c>
      <x:c r="G159" s="6"/>
      <x:c r="H159" s="299"/>
      <x:c r="I159" s="3"/>
      <x:c r="J159" s="3"/>
      <x:c r="K159" s="4"/>
      <x:c r="L159" s="4">
        <x:f t="shared" si="26"/>
        <x:v>0</x:v>
      </x:c>
      <x:c r="M159" s="5">
        <x:f t="shared" si="24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5"/>
        <x:v>0</x:v>
      </x:c>
      <x:c r="G160" s="6"/>
      <x:c r="H160" s="299"/>
      <x:c r="I160" s="3"/>
      <x:c r="J160" s="3"/>
      <x:c r="K160" s="4"/>
      <x:c r="L160" s="4">
        <x:f t="shared" si="26"/>
        <x:v>0</x:v>
      </x:c>
      <x:c r="M160" s="5">
        <x:f t="shared" si="24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5"/>
        <x:v>0</x:v>
      </x:c>
      <x:c r="G161" s="6"/>
      <x:c r="H161" s="299"/>
      <x:c r="I161" s="3"/>
      <x:c r="J161" s="3"/>
      <x:c r="K161" s="4"/>
      <x:c r="L161" s="4">
        <x:f t="shared" si="26"/>
        <x:v>0</x:v>
      </x:c>
      <x:c r="M161" s="5">
        <x:f t="shared" si="24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5"/>
        <x:v>0</x:v>
      </x:c>
      <x:c r="G162" s="6"/>
      <x:c r="H162" s="299"/>
      <x:c r="I162" s="3"/>
      <x:c r="J162" s="3"/>
      <x:c r="K162" s="4"/>
      <x:c r="L162" s="4">
        <x:f t="shared" si="26"/>
        <x:v>0</x:v>
      </x:c>
      <x:c r="M162" s="5"/>
      <x:c r="N162" s="6"/>
    </x:row>
    <x:row r="163" spans="1:14" ht="20.100000000000001" customHeight="1">
      <x:c r="A163" s="300"/>
      <x:c r="B163" s="3"/>
      <x:c r="C163" s="3"/>
      <x:c r="D163" s="4"/>
      <x:c r="E163" s="4"/>
      <x:c r="F163" s="5">
        <x:f t="shared" si="25"/>
        <x:v>0</x:v>
      </x:c>
      <x:c r="G163" s="6"/>
      <x:c r="H163" s="300"/>
      <x:c r="I163" s="3"/>
      <x:c r="J163" s="3"/>
      <x:c r="K163" s="4"/>
      <x:c r="L163" s="4">
        <x:f t="shared" si="26"/>
        <x:v>0</x:v>
      </x:c>
      <x:c r="M163" s="5">
        <x:f>+K163+L163</x:f>
        <x:v>0</x:v>
      </x:c>
      <x:c r="N163" s="6"/>
    </x:row>
    <x:row r="164" spans="1:14" ht="20.10000000000000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customHeight="1">
      <x:c r="A165" s="12" t="s">
        <x:v>1690</x:v>
      </x:c>
      <x:c r="B165" s="13"/>
      <x:c r="C165" s="13"/>
      <x:c r="D165" s="14">
        <x:f>+D143+D148+D153+D164</x:f>
        <x:v>85900</x:v>
      </x:c>
      <x:c r="E165" s="14">
        <x:f>+E143+E148+E153+E164</x:f>
        <x:v>8590</x:v>
      </x:c>
      <x:c r="F165" s="15">
        <x:f>+F143+F148+F153+F164</x:f>
        <x:v>94490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customHeight="1">
      <x:c r="A166" s="23" t="s">
        <x:v>35</x:v>
      </x:c>
      <x:c r="B166" s="24"/>
      <x:c r="C166" s="24"/>
      <x:c r="D166" s="25">
        <x:f>+D127-D165</x:f>
        <x:v>2484100</x:v>
      </x:c>
      <x:c r="E166" s="25">
        <x:f>+E127-E165</x:f>
        <x:v>248410</x:v>
      </x:c>
      <x:c r="F166" s="26">
        <x:f>+F127-F165</x:f>
        <x:v>2732510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+D15+D59+D101+D143</x:f>
        <x:v>41172974</x:v>
      </x:c>
      <x:c r="E169" s="2">
        <x:f>+E15+E59+E101+E143</x:f>
        <x:v>4117297.4000000004</x:v>
      </x:c>
      <x:c r="F169" s="2">
        <x:f>+F15+F59+F101+F143</x:f>
        <x:v>45290271.399999999</x:v>
      </x:c>
      <x:c r="K169" s="2">
        <x:f>+K15+K59+K101+K143</x:f>
        <x:v>44853344</x:v>
      </x:c>
      <x:c r="L169" s="2">
        <x:f>+L15+L59+L101+L143</x:f>
        <x:v>4385334.4000000004</x:v>
      </x:c>
      <x:c r="M169" s="2">
        <x:f>+M15+M59+M101+M143</x:f>
        <x:v>49238678.400000006</x:v>
      </x:c>
    </x:row>
    <x:row r="170" spans="1:13">
      <x:c r="A170" s="1" t="s">
        <x:v>153</x:v>
      </x:c>
      <x:c r="D170" s="2">
        <x:f>+D22+D64+D106+D148</x:f>
        <x:v>81168494</x:v>
      </x:c>
      <x:c r="E170" s="2">
        <x:f>+E22+E64+E106+E148</x:f>
        <x:v>0</x:v>
      </x:c>
      <x:c r="F170" s="2">
        <x:f>+F22+F64+F106+F148</x:f>
        <x:v>81168494</x:v>
      </x:c>
      <x:c r="K170" s="2">
        <x:f>+K22+K64+K106+K148</x:f>
        <x:v>65185000</x:v>
      </x:c>
      <x:c r="L170" s="2">
        <x:f>+L22+L64+L106+L148</x:f>
        <x:v>0</x:v>
      </x:c>
      <x:c r="M170" s="2">
        <x:f>+M22+M64+M106+M148</x:f>
        <x:v>65185000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1160000</x:v>
      </x:c>
      <x:c r="E171" s="2">
        <x:f>+E27+E69+E111+E153</x:f>
        <x:v>116000</x:v>
      </x:c>
      <x:c r="F171" s="2">
        <x:f>+F27+F69+F111+F153</x:f>
        <x:v>1276000</x:v>
      </x:c>
      <x:c r="H171" s="1"/>
      <x:c r="I171" s="1"/>
      <x:c r="J171" s="1"/>
      <x:c r="K171" s="2">
        <x:f>+K27+K69+K111+K153</x:f>
        <x:v>290000</x:v>
      </x:c>
      <x:c r="L171" s="2">
        <x:f>+L27+L69+L111+L153</x:f>
        <x:v>29000</x:v>
      </x:c>
      <x:c r="M171" s="2">
        <x:f>+M27+M69+M111+M153</x:f>
        <x:v>319000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9295526</x:v>
      </x:c>
      <x:c r="E172" s="2">
        <x:f>+E38+E80+E122+E164</x:f>
        <x:v>570003.59999999998</x:v>
      </x:c>
      <x:c r="F172" s="2">
        <x:f>+F38+F80+F122+F164</x:f>
        <x:v>9865529.5999999996</x:v>
      </x:c>
      <x:c r="H172" s="1"/>
      <x:c r="I172" s="1"/>
      <x:c r="J172" s="1"/>
      <x:c r="K172" s="2">
        <x:f>+K38+K80+K122+K164</x:f>
        <x:v>5967550</x:v>
      </x:c>
      <x:c r="L172" s="2">
        <x:f>+L38+L80+L122+L164</x:f>
        <x:v>269199.70000000001</x:v>
      </x:c>
      <x:c r="M172" s="2">
        <x:f>+M38+M80+M122+M164</x:f>
        <x:v>6236749.7000000002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132796994</x:v>
      </x:c>
      <x:c r="E173" s="2">
        <x:f>SUM(E169:E172)</x:f>
        <x:v>4803301</x:v>
      </x:c>
      <x:c r="F173" s="2">
        <x:f>SUM(F169:F172)</x:f>
        <x:v>137600295</x:v>
      </x:c>
      <x:c r="H173" s="1"/>
      <x:c r="I173" s="1"/>
      <x:c r="J173" s="1"/>
      <x:c r="K173" s="2">
        <x:f>SUM(K169:K172)</x:f>
        <x:v>116295894</x:v>
      </x:c>
      <x:c r="L173" s="2">
        <x:f>SUM(L169:L172)</x:f>
        <x:v>4683534.1000000006</x:v>
      </x:c>
      <x:c r="M173" s="2">
        <x:f>SUM(M169:M172)</x:f>
        <x:v>120979428.10000001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86026318</x:v>
      </x:c>
      <x:c r="E176" s="2">
        <x:f>+E169+L169</x:f>
        <x:v>8502631.8000000007</x:v>
      </x:c>
      <x:c r="F176" s="2">
        <x:f>+F169+M169</x:f>
        <x:v>94528949.800000012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7">+D170+K170</x:f>
        <x:v>146353494</x:v>
      </x:c>
      <x:c r="E177" s="2">
        <x:f t="shared" si="27"/>
        <x:v>0</x:v>
      </x:c>
      <x:c r="F177" s="2">
        <x:f t="shared" si="27"/>
        <x:v>146353494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7"/>
        <x:v>1450000</x:v>
      </x:c>
      <x:c r="E178" s="2">
        <x:f t="shared" si="27"/>
        <x:v>145000</x:v>
      </x:c>
      <x:c r="F178" s="2">
        <x:f t="shared" si="27"/>
        <x:v>1595000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7"/>
        <x:v>15263076</x:v>
      </x:c>
      <x:c r="E179" s="2">
        <x:f t="shared" si="27"/>
        <x:v>839203.30000000005</x:v>
      </x:c>
      <x:c r="F179" s="2">
        <x:f t="shared" si="27"/>
        <x:v>16102279.300000001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249092888</x:v>
      </x:c>
      <x:c r="E180" s="2">
        <x:f>SUM(E176:E179)</x:f>
        <x:v>9486835.1000000015</x:v>
      </x:c>
      <x:c r="F180" s="2">
        <x:f>SUM(F176:F179)</x:f>
        <x:v>258579723.10000002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272375125</x:v>
      </x:c>
      <x:c r="E181" s="2">
        <x:f>E4+E43+E85+L4+L43+L85</x:f>
        <x:v>2730875</x:v>
      </x:c>
      <x:c r="F181" s="2">
        <x:f>F4+F43+F85+M4+M43+M85</x:f>
        <x:v>272536000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23282237</x:v>
      </x:c>
      <x:c r="E182" s="2">
        <x:f>+E181-E180</x:f>
        <x:v>-6755960.1000000015</x:v>
      </x:c>
      <x:c r="F182" s="2">
        <x:f>+F181-F180</x:f>
        <x:v>13956276.899999976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6:A21"/>
    <x:mergeCell ref="H16:H21"/>
    <x:mergeCell ref="A1:N1"/>
    <x:mergeCell ref="A2:G2"/>
    <x:mergeCell ref="H2:N2"/>
    <x:mergeCell ref="A5:A14"/>
    <x:mergeCell ref="H5:H14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R11"/>
  <x:sheetViews>
    <x:sheetView view="pageBreakPreview" topLeftCell="A1" zoomScaleNormal="100" zoomScaleSheetLayoutView="100" workbookViewId="0">
      <x:selection activeCell="G9" activeCellId="0" sqref="G9:G9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1777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99"/>
      <x:c r="C2" s="99"/>
      <x:c r="D2" s="99"/>
      <x:c r="E2" s="99"/>
      <x:c r="F2" s="99"/>
      <x:c r="G2" s="99"/>
      <x:c r="H2" s="99"/>
      <x:c r="I2" s="99"/>
      <x:c r="J2" s="99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395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101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'20년03월(세부내역)'!D4</x:f>
        <x:v>145000000</x:v>
      </x:c>
      <x:c r="E5" s="67">
        <x:f>'20년03월(세부내역)'!D17</x:f>
        <x:v>52231611</x:v>
      </x:c>
      <x:c r="F5" s="67">
        <x:f>'20년03월(세부내역)'!D22</x:f>
        <x:v>46630000</x:v>
      </x:c>
      <x:c r="G5" s="67">
        <x:f>'20년03월(세부내역)'!D27</x:f>
        <x:v>1620000</x:v>
      </x:c>
      <x:c r="H5" s="67">
        <x:f>'20년03월(세부내역)'!D38</x:f>
        <x:v>5248266</x:v>
      </x:c>
      <x:c r="I5" s="75">
        <x:f t="shared" ref="I5:I10" si="0">+SUM(E5:H5)</x:f>
        <x:v>105729877</x:v>
      </x:c>
      <x:c r="J5" s="9">
        <x:f t="shared" ref="J5:J10" si="1">D5-I5</x:f>
        <x:v>39270123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'20년03월(세부내역)'!K4</x:f>
        <x:v>44898000</x:v>
      </x:c>
      <x:c r="E6" s="59">
        <x:f>+'20년03월(세부내역)'!K17</x:f>
        <x:v>33896400</x:v>
      </x:c>
      <x:c r="F6" s="59">
        <x:f>'20년03월(세부내역)'!K22</x:f>
        <x:v>30000800</x:v>
      </x:c>
      <x:c r="G6" s="59">
        <x:f>'20년03월(세부내역)'!K27</x:f>
        <x:v>0</x:v>
      </x:c>
      <x:c r="H6" s="59">
        <x:f>'20년03월(세부내역)'!K38</x:f>
        <x:v>2341564</x:v>
      </x:c>
      <x:c r="I6" s="75">
        <x:f t="shared" si="0"/>
        <x:v>66238764</x:v>
      </x:c>
      <x:c r="J6" s="9">
        <x:f t="shared" si="1"/>
        <x:v>-21340764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'20년03월(세부내역)'!D43</x:f>
        <x:v>37245960</x:v>
      </x:c>
      <x:c r="E7" s="59">
        <x:f>+'20년03월(세부내역)'!D59</x:f>
        <x:v>24588460</x:v>
      </x:c>
      <x:c r="F7" s="59">
        <x:f>'20년03월(세부내역)'!D64</x:f>
        <x:v>30115000</x:v>
      </x:c>
      <x:c r="G7" s="59">
        <x:f>'20년03월(세부내역)'!D69</x:f>
        <x:v>300000</x:v>
      </x:c>
      <x:c r="H7" s="59">
        <x:f>'20년03월(세부내역)'!D80</x:f>
        <x:v>2983890</x:v>
      </x:c>
      <x:c r="I7" s="75">
        <x:f t="shared" si="0"/>
        <x:v>57987350</x:v>
      </x:c>
      <x:c r="J7" s="80">
        <x:f t="shared" si="1"/>
        <x:v>-20741390</x:v>
      </x:c>
      <x:c r="K7" s="59"/>
    </x:row>
    <x:row r="8" spans="1:11" ht="30" customHeight="1">
      <x:c r="A8" s="63">
        <x:v>4</x:v>
      </x:c>
      <x:c r="B8" s="63" t="s">
        <x:v>58</x:v>
      </x:c>
      <x:c r="C8" s="58" t="s">
        <x:v>1065</x:v>
      </x:c>
      <x:c r="D8" s="74">
        <x:f>'20년03월(세부내역)'!K43</x:f>
        <x:v>32660000</x:v>
      </x:c>
      <x:c r="E8" s="59">
        <x:f>'20년03월(세부내역)'!K59</x:f>
        <x:v>902500</x:v>
      </x:c>
      <x:c r="F8" s="59">
        <x:f>'20년03월(세부내역)'!K64</x:f>
        <x:v>0</x:v>
      </x:c>
      <x:c r="G8" s="59">
        <x:f>'20년03월(세부내역)'!K69</x:f>
        <x:v>0</x:v>
      </x:c>
      <x:c r="H8" s="59">
        <x:f>'20년03월(세부내역)'!K80</x:f>
        <x:v>0</x:v>
      </x:c>
      <x:c r="I8" s="75">
        <x:f t="shared" si="0"/>
        <x:v>902500</x:v>
      </x:c>
      <x:c r="J8" s="9">
        <x:f t="shared" si="1"/>
        <x:v>31757500</x:v>
      </x:c>
      <x:c r="K8" s="59" t="s">
        <x:v>390</x:v>
      </x:c>
    </x:row>
    <x:row r="9" spans="1:11" ht="30" customHeight="1">
      <x:c r="A9" s="63">
        <x:v>5</x:v>
      </x:c>
      <x:c r="B9" s="63" t="s">
        <x:v>1021</x:v>
      </x:c>
      <x:c r="C9" s="58" t="s">
        <x:v>1065</x:v>
      </x:c>
      <x:c r="D9" s="74">
        <x:f>'20년03월(세부내역)'!D85</x:f>
        <x:v>29684425</x:v>
      </x:c>
      <x:c r="E9" s="59">
        <x:f>'20년03월(세부내역)'!D101</x:f>
        <x:v>5580480</x:v>
      </x:c>
      <x:c r="F9" s="59">
        <x:f>'20년03월(세부내역)'!D106</x:f>
        <x:v>24957200</x:v>
      </x:c>
      <x:c r="G9" s="59">
        <x:f>'20년03월(세부내역)'!D111</x:f>
        <x:v>0</x:v>
      </x:c>
      <x:c r="H9" s="59">
        <x:f>'20년03월(세부내역)'!D122</x:f>
        <x:v>2766820</x:v>
      </x:c>
      <x:c r="I9" s="75">
        <x:f t="shared" si="0"/>
        <x:v>33304500</x:v>
      </x:c>
      <x:c r="J9" s="9">
        <x:f t="shared" si="1"/>
        <x:v>-3620075</x:v>
      </x:c>
      <x:c r="K9" s="59"/>
    </x:row>
    <x:row r="10" spans="1:11" ht="30" customHeight="1">
      <x:c r="A10" s="63">
        <x:v>6</x:v>
      </x:c>
      <x:c r="B10" s="63" t="s">
        <x:v>1025</x:v>
      </x:c>
      <x:c r="C10" s="58" t="s">
        <x:v>1065</x:v>
      </x:c>
      <x:c r="D10" s="74">
        <x:f>'20년03월(세부내역)'!K85</x:f>
        <x:v>64435928</x:v>
      </x:c>
      <x:c r="E10" s="59">
        <x:f>'20년03월(세부내역)'!K101</x:f>
        <x:v>22090580</x:v>
      </x:c>
      <x:c r="F10" s="59">
        <x:f>'20년03월(세부내역)'!K106</x:f>
        <x:v>33655000</x:v>
      </x:c>
      <x:c r="G10" s="59">
        <x:f>'20년03월(세부내역)'!K111</x:f>
        <x:v>600000</x:v>
      </x:c>
      <x:c r="H10" s="59">
        <x:f>'20년03월(세부내역)'!K122</x:f>
        <x:v>1967366</x:v>
      </x:c>
      <x:c r="I10" s="75">
        <x:f t="shared" si="0"/>
        <x:v>58312946</x:v>
      </x:c>
      <x:c r="J10" s="9">
        <x:f t="shared" si="1"/>
        <x:v>6122982</x:v>
      </x:c>
      <x:c r="K10" s="59"/>
    </x:row>
    <x:row r="11" spans="1:11" ht="30" customHeight="1">
      <x:c r="A11" s="64"/>
      <x:c r="B11" s="64" t="s">
        <x:v>1690</x:v>
      </x:c>
      <x:c r="C11" s="65"/>
      <x:c r="D11" s="68">
        <x:f t="shared" ref="D11:J11" si="2">SUM(D5:D10)</x:f>
        <x:v>353924313</x:v>
      </x:c>
      <x:c r="E11" s="66">
        <x:f t="shared" si="2"/>
        <x:v>139290031</x:v>
      </x:c>
      <x:c r="F11" s="66">
        <x:f t="shared" si="2"/>
        <x:v>165358000</x:v>
      </x:c>
      <x:c r="G11" s="66">
        <x:f t="shared" si="2"/>
        <x:v>2520000</x:v>
      </x:c>
      <x:c r="H11" s="66">
        <x:f t="shared" si="2"/>
        <x:v>15307906</x:v>
      </x:c>
      <x:c r="I11" s="69">
        <x:f t="shared" si="2"/>
        <x:v>322475937</x:v>
      </x:c>
      <x:c r="J11" s="66">
        <x:f t="shared" si="2"/>
        <x:v>31448376</x:v>
      </x:c>
      <x:c r="K11" s="66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N182"/>
  <x:sheetViews>
    <x:sheetView view="pageBreakPreview" topLeftCell="A10" zoomScaleNormal="100" zoomScaleSheetLayoutView="100" workbookViewId="0">
      <x:selection activeCell="D96" activeCellId="0" sqref="D96:D9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1750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01" t="s">
        <x:v>144</x:v>
      </x:c>
      <x:c r="C3" s="101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01" t="s">
        <x:v>144</x:v>
      </x:c>
      <x:c r="J3" s="101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145000000</x:v>
      </x:c>
      <x:c r="E4" s="39"/>
      <x:c r="F4" s="40">
        <x:f>+D4+E4</x:f>
        <x:v>145000000</x:v>
      </x:c>
      <x:c r="G4" s="42"/>
      <x:c r="H4" s="100" t="s">
        <x:v>151</x:v>
      </x:c>
      <x:c r="I4" s="38" t="s">
        <x:v>1679</x:v>
      </x:c>
      <x:c r="J4" s="38" t="s">
        <x:v>1030</x:v>
      </x:c>
      <x:c r="K4" s="39">
        <x:v>44898000</x:v>
      </x:c>
      <x:c r="L4" s="39">
        <x:v>102000</x:v>
      </x:c>
      <x:c r="M4" s="40">
        <x:f>+K4+L4</x:f>
        <x:v>45000000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936</x:v>
      </x:c>
      <x:c r="D5" s="20">
        <x:v>289400</x:v>
      </x:c>
      <x:c r="E5" s="20">
        <x:f>+D5*0.1</x:f>
        <x:v>28940</x:v>
      </x:c>
      <x:c r="F5" s="21">
        <x:f>+D5+E5</x:f>
        <x:v>318340</x:v>
      </x:c>
      <x:c r="G5" s="22"/>
      <x:c r="H5" s="298" t="s">
        <x:v>148</x:v>
      </x:c>
      <x:c r="I5" s="19" t="s">
        <x:v>838</x:v>
      </x:c>
      <x:c r="J5" s="19" t="s">
        <x:v>942</x:v>
      </x:c>
      <x:c r="K5" s="20">
        <x:v>6826350</x:v>
      </x:c>
      <x:c r="L5" s="20">
        <x:f>K5*0.1</x:f>
        <x:v>682635</x:v>
      </x:c>
      <x:c r="M5" s="21">
        <x:f t="shared" ref="M5:M21" si="0">+K5+L5</x:f>
        <x:v>7508985</x:v>
      </x:c>
      <x:c r="N5" s="22"/>
    </x:row>
    <x:row r="6" spans="1:14" ht="20.100000000000001" customHeight="1">
      <x:c r="A6" s="299"/>
      <x:c r="B6" s="3" t="s">
        <x:v>867</x:v>
      </x:c>
      <x:c r="C6" s="3" t="s">
        <x:v>110</x:v>
      </x:c>
      <x:c r="D6" s="4">
        <x:v>8155660</x:v>
      </x:c>
      <x:c r="E6" s="4">
        <x:f t="shared" ref="E6:E16" si="1">+D6*0.1</x:f>
        <x:v>815566</x:v>
      </x:c>
      <x:c r="F6" s="5">
        <x:f>+D6+E6</x:f>
        <x:v>8971226</x:v>
      </x:c>
      <x:c r="G6" s="6"/>
      <x:c r="H6" s="299"/>
      <x:c r="I6" s="3" t="s">
        <x:v>867</x:v>
      </x:c>
      <x:c r="J6" s="3" t="s">
        <x:v>351</x:v>
      </x:c>
      <x:c r="K6" s="4">
        <x:v>24494100</x:v>
      </x:c>
      <x:c r="L6" s="4">
        <x:f t="shared" ref="L6:L16" si="2">K6*0.1</x:f>
        <x:v>2449410</x:v>
      </x:c>
      <x:c r="M6" s="5">
        <x:f t="shared" si="0"/>
        <x:v>26943510</x:v>
      </x:c>
      <x:c r="N6" s="6"/>
    </x:row>
    <x:row r="7" spans="1:14" ht="20.100000000000001" customHeight="1">
      <x:c r="A7" s="299"/>
      <x:c r="B7" s="3" t="s">
        <x:v>34</x:v>
      </x:c>
      <x:c r="C7" s="3"/>
      <x:c r="D7" s="4"/>
      <x:c r="E7" s="4">
        <x:f t="shared" si="1"/>
        <x:v>0</x:v>
      </x:c>
      <x:c r="F7" s="5">
        <x:f>+D7+E7</x:f>
        <x:v>0</x:v>
      </x:c>
      <x:c r="G7" s="6"/>
      <x:c r="H7" s="299"/>
      <x:c r="I7" s="3" t="s">
        <x:v>1119</x:v>
      </x:c>
      <x:c r="J7" s="3" t="s">
        <x:v>705</x:v>
      </x:c>
      <x:c r="K7" s="4">
        <x:v>543000</x:v>
      </x:c>
      <x:c r="L7" s="4">
        <x:f>K7*0.1</x:f>
        <x:v>54300</x:v>
      </x:c>
      <x:c r="M7" s="5">
        <x:f t="shared" si="0"/>
        <x:v>597300</x:v>
      </x:c>
      <x:c r="N7" s="6"/>
    </x:row>
    <x:row r="8" spans="1:14" ht="20.100000000000001" customHeight="1">
      <x:c r="A8" s="299"/>
      <x:c r="B8" s="3" t="s">
        <x:v>840</x:v>
      </x:c>
      <x:c r="C8" s="3"/>
      <x:c r="D8" s="4"/>
      <x:c r="E8" s="4">
        <x:f t="shared" si="1"/>
        <x:v>0</x:v>
      </x:c>
      <x:c r="F8" s="5">
        <x:f t="shared" ref="F8:F16" si="3">+D8+E8</x:f>
        <x:v>0</x:v>
      </x:c>
      <x:c r="G8" s="6"/>
      <x:c r="H8" s="299"/>
      <x:c r="I8" s="3" t="s">
        <x:v>976</x:v>
      </x:c>
      <x:c r="J8" s="3" t="s">
        <x:v>350</x:v>
      </x:c>
      <x:c r="K8" s="4">
        <x:v>304000</x:v>
      </x:c>
      <x:c r="L8" s="4">
        <x:f t="shared" si="2"/>
        <x:v>30400</x:v>
      </x:c>
      <x:c r="M8" s="5">
        <x:f t="shared" si="0"/>
        <x:v>334400</x:v>
      </x:c>
      <x:c r="N8" s="6"/>
    </x:row>
    <x:row r="9" spans="1:14" ht="20.100000000000001" customHeight="1">
      <x:c r="A9" s="299"/>
      <x:c r="B9" s="3" t="s">
        <x:v>854</x:v>
      </x:c>
      <x:c r="C9" s="3" t="s">
        <x:v>343</x:v>
      </x:c>
      <x:c r="D9" s="4">
        <x:v>39111820</x:v>
      </x:c>
      <x:c r="E9" s="4">
        <x:f t="shared" si="1"/>
        <x:v>3911182</x:v>
      </x:c>
      <x:c r="F9" s="5">
        <x:f t="shared" si="3"/>
        <x:v>43023002</x:v>
      </x:c>
      <x:c r="G9" s="6"/>
      <x:c r="H9" s="299"/>
      <x:c r="I9" s="3" t="s">
        <x:v>846</x:v>
      </x:c>
      <x:c r="J9" s="3" t="s">
        <x:v>1152</x:v>
      </x:c>
      <x:c r="K9" s="4">
        <x:v>960950</x:v>
      </x:c>
      <x:c r="L9" s="4">
        <x:f t="shared" si="2"/>
        <x:v>96095</x:v>
      </x:c>
      <x:c r="M9" s="5">
        <x:f t="shared" si="0"/>
        <x:v>1057045</x:v>
      </x:c>
      <x:c r="N9" s="6"/>
    </x:row>
    <x:row r="10" spans="1:14" ht="20.100000000000001" customHeight="1">
      <x:c r="A10" s="299"/>
      <x:c r="B10" s="3" t="s">
        <x:v>895</x:v>
      </x:c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840</x:v>
      </x:c>
      <x:c r="J10" s="3" t="s">
        <x:v>342</x:v>
      </x:c>
      <x:c r="K10" s="4">
        <x:v>168000</x:v>
      </x:c>
      <x:c r="L10" s="4">
        <x:f t="shared" si="2"/>
        <x:v>16800</x:v>
      </x:c>
      <x:c r="M10" s="5">
        <x:f t="shared" si="0"/>
        <x:v>184800</x:v>
      </x:c>
      <x:c r="N10" s="6"/>
    </x:row>
    <x:row r="11" spans="1:14" ht="20.100000000000001" customHeight="1">
      <x:c r="A11" s="299"/>
      <x:c r="B11" s="3" t="s">
        <x:v>864</x:v>
      </x:c>
      <x:c r="C11" s="3"/>
      <x:c r="D11" s="4"/>
      <x:c r="E11" s="4">
        <x:f t="shared" si="1"/>
        <x:v>0</x:v>
      </x:c>
      <x:c r="F11" s="5">
        <x:f t="shared" si="3"/>
        <x:v>0</x:v>
      </x:c>
      <x:c r="G11" s="6"/>
      <x:c r="H11" s="299"/>
      <x:c r="I11" s="3" t="s">
        <x:v>1134</x:v>
      </x:c>
      <x:c r="J11" s="3" t="s">
        <x:v>1005</x:v>
      </x:c>
      <x:c r="K11" s="4">
        <x:v>600000</x:v>
      </x:c>
      <x:c r="L11" s="4">
        <x:f t="shared" si="2"/>
        <x:v>60000</x:v>
      </x:c>
      <x:c r="M11" s="5">
        <x:f t="shared" si="0"/>
        <x:v>660000</x:v>
      </x:c>
      <x:c r="N11" s="6" t="s">
        <x:v>1069</x:v>
      </x:c>
    </x:row>
    <x:row r="12" spans="1:14" ht="20.100000000000001" customHeight="1">
      <x:c r="A12" s="299"/>
      <x:c r="B12" s="3" t="s">
        <x:v>846</x:v>
      </x:c>
      <x:c r="C12" s="3" t="s">
        <x:v>1151</x:v>
      </x:c>
      <x:c r="D12" s="4">
        <x:v>2655931</x:v>
      </x:c>
      <x:c r="E12" s="4">
        <x:f>+D12*0.1</x:f>
        <x:v>265593.10000000003</x:v>
      </x:c>
      <x:c r="F12" s="5">
        <x:f>+D12+E12</x:f>
        <x:v>2921524.1000000001</x:v>
      </x:c>
      <x:c r="G12" s="6"/>
      <x:c r="H12" s="299"/>
      <x:c r="I12" s="3"/>
      <x:c r="J12" s="3"/>
      <x:c r="K12" s="4"/>
      <x:c r="L12" s="4">
        <x:f>K12*0.1</x:f>
        <x:v>0</x:v>
      </x:c>
      <x:c r="M12" s="5">
        <x:f>+K12+L12</x:f>
        <x:v>0</x:v>
      </x:c>
      <x:c r="N12" s="6"/>
    </x:row>
    <x:row r="13" spans="1:14" ht="20.100000000000001" customHeight="1">
      <x:c r="A13" s="299"/>
      <x:c r="B13" s="3" t="s">
        <x:v>1705</x:v>
      </x:c>
      <x:c r="C13" s="3" t="s">
        <x:v>1144</x:v>
      </x:c>
      <x:c r="D13" s="44">
        <x:v>346800</x:v>
      </x:c>
      <x:c r="E13" s="44">
        <x:f t="shared" si="1"/>
        <x:v>34680</x:v>
      </x:c>
      <x:c r="F13" s="45">
        <x:f t="shared" si="3"/>
        <x:v>381480</x:v>
      </x:c>
      <x:c r="G13" s="6"/>
      <x:c r="H13" s="299"/>
      <x:c r="I13" s="3"/>
      <x:c r="J13" s="3"/>
      <x:c r="K13" s="4"/>
      <x:c r="L13" s="4"/>
      <x:c r="M13" s="5"/>
      <x:c r="N13" s="6"/>
    </x:row>
    <x:row r="14" spans="1:14" ht="20.100000000000001" customHeight="1">
      <x:c r="A14" s="299"/>
      <x:c r="B14" s="3" t="s">
        <x:v>938</x:v>
      </x:c>
      <x:c r="C14" s="3" t="s">
        <x:v>1094</x:v>
      </x:c>
      <x:c r="D14" s="4">
        <x:v>1227000</x:v>
      </x:c>
      <x:c r="E14" s="4">
        <x:f>+D14*0.1</x:f>
        <x:v>122700</x:v>
      </x:c>
      <x:c r="F14" s="45">
        <x:f>+D14+E14</x:f>
        <x:v>1349700</x:v>
      </x:c>
      <x:c r="G14" s="6"/>
      <x:c r="H14" s="299"/>
      <x:c r="I14" s="3"/>
      <x:c r="J14" s="3"/>
      <x:c r="K14" s="4"/>
      <x:c r="L14" s="4">
        <x:f>K14*0.1</x:f>
        <x:v>0</x:v>
      </x:c>
      <x:c r="M14" s="5">
        <x:f>+K14+L14</x:f>
        <x:v>0</x:v>
      </x:c>
      <x:c r="N14" s="6"/>
    </x:row>
    <x:row r="15" spans="1:14" ht="20.100000000000001" customHeight="1">
      <x:c r="A15" s="299"/>
      <x:c r="B15" s="3" t="s">
        <x:v>991</x:v>
      </x:c>
      <x:c r="C15" s="3" t="s">
        <x:v>1161</x:v>
      </x:c>
      <x:c r="D15" s="4">
        <x:v>445000</x:v>
      </x:c>
      <x:c r="E15" s="4">
        <x:f>+D15*0.1</x:f>
        <x:v>44500</x:v>
      </x:c>
      <x:c r="F15" s="45">
        <x:f>+D15+E15</x:f>
        <x:v>489500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>+K15+L15</x:f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1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52231611</x:v>
      </x:c>
      <x:c r="E17" s="9">
        <x:f>SUM(E5:E16)</x:f>
        <x:v>5223161.0999999996</x:v>
      </x:c>
      <x:c r="F17" s="10">
        <x:f>SUM(F5:F16)</x:f>
        <x:v>57454772.100000001</x:v>
      </x:c>
      <x:c r="G17" s="11"/>
      <x:c r="H17" s="7"/>
      <x:c r="I17" s="8"/>
      <x:c r="J17" s="8"/>
      <x:c r="K17" s="9">
        <x:f>SUM(K5:K16)</x:f>
        <x:v>33896400</x:v>
      </x:c>
      <x:c r="L17" s="9">
        <x:f>SUM(L5:L16)</x:f>
        <x:v>3389640</x:v>
      </x:c>
      <x:c r="M17" s="10">
        <x:f>SUM(M5:M16)</x:f>
        <x:v>37286040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46630000</x:v>
      </x:c>
      <x:c r="E18" s="44"/>
      <x:c r="F18" s="45">
        <x:f>+D18+E18</x:f>
        <x:v>46630000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f>13760000+1360000</x:f>
        <x:v>15120000</x:v>
      </x:c>
      <x:c r="L18" s="4"/>
      <x:c r="M18" s="5">
        <x:f t="shared" si="0"/>
        <x:v>15120000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>+D19+E19</x:f>
        <x:v>0</x:v>
      </x:c>
      <x:c r="G19" s="37"/>
      <x:c r="H19" s="299"/>
      <x:c r="I19" s="3" t="s">
        <x:v>695</x:v>
      </x:c>
      <x:c r="J19" s="3" t="s">
        <x:v>1107</x:v>
      </x:c>
      <x:c r="K19" s="4">
        <x:v>11940000</x:v>
      </x:c>
      <x:c r="L19" s="4"/>
      <x:c r="M19" s="5">
        <x:f t="shared" si="0"/>
        <x:v>11940000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/>
      <x:c r="K20" s="4">
        <x:v>2940800</x:v>
      </x:c>
      <x:c r="L20" s="4">
        <x:f>+K20*0.1</x:f>
        <x:v>294080</x:v>
      </x:c>
      <x:c r="M20" s="5">
        <x:f t="shared" si="0"/>
        <x:v>3234880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46630000</x:v>
      </x:c>
      <x:c r="E22" s="9">
        <x:f>SUM(E18:E21)</x:f>
        <x:v>0</x:v>
      </x:c>
      <x:c r="F22" s="10">
        <x:f>SUM(F18:F21)</x:f>
        <x:v>46630000</x:v>
      </x:c>
      <x:c r="G22" s="11"/>
      <x:c r="H22" s="7"/>
      <x:c r="I22" s="8"/>
      <x:c r="J22" s="8"/>
      <x:c r="K22" s="9">
        <x:f>SUM(K18:K21)</x:f>
        <x:v>30000800</x:v>
      </x:c>
      <x:c r="L22" s="9">
        <x:f>SUM(L18:L21)</x:f>
        <x:v>294080</x:v>
      </x:c>
      <x:c r="M22" s="10">
        <x:f>SUM(M18:M21)</x:f>
        <x:v>30294880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420000</x:v>
      </x:c>
      <x:c r="E23" s="4">
        <x:f>+D23*0.1</x:f>
        <x:v>42000</x:v>
      </x:c>
      <x:c r="F23" s="5">
        <x:f>+D23+E23</x:f>
        <x:v>462000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 t="s">
        <x:v>250</x:v>
      </x:c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 t="s">
        <x:v>1153</x:v>
      </x:c>
      <x:c r="C25" s="3" t="s">
        <x:v>946</x:v>
      </x:c>
      <x:c r="D25" s="4">
        <x:v>600000</x:v>
      </x:c>
      <x:c r="E25" s="4">
        <x:f>+D25*0.1</x:f>
        <x:v>60000</x:v>
      </x:c>
      <x:c r="F25" s="5">
        <x:f>+D25+E25</x:f>
        <x:v>660000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1620000</x:v>
      </x:c>
      <x:c r="E27" s="9">
        <x:f>SUM(E23:E26)</x:f>
        <x:v>162000</x:v>
      </x:c>
      <x:c r="F27" s="10">
        <x:f>SUM(F23:F26)</x:f>
        <x:v>1782000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952</x:v>
      </x:c>
      <x:c r="C28" s="3" t="s">
        <x:v>28</x:v>
      </x:c>
      <x:c r="D28" s="4">
        <x:v>1400000</x:v>
      </x:c>
      <x:c r="E28" s="4">
        <x:f>+D28*0.1</x:f>
        <x:v>140000</x:v>
      </x:c>
      <x:c r="F28" s="5">
        <x:f>+D28+E28</x:f>
        <x:v>1540000</x:v>
      </x:c>
      <x:c r="G28" s="6"/>
      <x:c r="H28" s="301" t="s">
        <x:v>149</x:v>
      </x:c>
      <x:c r="I28" s="3" t="s">
        <x:v>1091</x:v>
      </x:c>
      <x:c r="J28" s="3" t="s">
        <x:v>28</x:v>
      </x:c>
      <x:c r="K28" s="4">
        <x:v>338181</x:v>
      </x:c>
      <x:c r="L28" s="4">
        <x:f>+K28*0.1+1</x:f>
        <x:v>33819.099999999999</x:v>
      </x:c>
      <x:c r="M28" s="5">
        <x:f t="shared" ref="M28:M37" si="4">+K28+L28</x:f>
        <x:v>372000.09999999998</x:v>
      </x:c>
      <x:c r="N28" s="6"/>
    </x:row>
    <x:row r="29" spans="1:14" ht="20.100000000000001" customHeight="1">
      <x:c r="A29" s="299"/>
      <x:c r="B29" s="3" t="s">
        <x:v>959</x:v>
      </x:c>
      <x:c r="C29" s="3" t="s">
        <x:v>825</x:v>
      </x:c>
      <x:c r="D29" s="4">
        <x:v>1440000</x:v>
      </x:c>
      <x:c r="E29" s="4">
        <x:f>+D29*0.1</x:f>
        <x:v>144000</x:v>
      </x:c>
      <x:c r="F29" s="5">
        <x:f>+D29+E29</x:f>
        <x:v>1584000</x:v>
      </x:c>
      <x:c r="G29" s="6"/>
      <x:c r="H29" s="299"/>
      <x:c r="I29" s="3" t="s">
        <x:v>217</x:v>
      </x:c>
      <x:c r="J29" s="3" t="s">
        <x:v>941</x:v>
      </x:c>
      <x:c r="K29" s="4">
        <x:v>500000</x:v>
      </x:c>
      <x:c r="L29" s="4">
        <x:f>+K29*0.1</x:f>
        <x:v>50000</x:v>
      </x:c>
      <x:c r="M29" s="5">
        <x:f>+K29+L29</x:f>
        <x:v>550000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883</x:v>
      </x:c>
      <x:c r="J30" s="3" t="s">
        <x:v>1751</x:v>
      </x:c>
      <x:c r="K30" s="4">
        <x:v>200000</x:v>
      </x:c>
      <x:c r="L30" s="4">
        <x:f>K30*0.1</x:f>
        <x:v>20000</x:v>
      </x:c>
      <x:c r="M30" s="5">
        <x:f>+K30+L30</x:f>
        <x:v>220000</x:v>
      </x:c>
      <x:c r="N30" s="6"/>
    </x:row>
    <x:row r="31" spans="1:14" ht="20.100000000000001" customHeight="1">
      <x:c r="A31" s="299"/>
      <x:c r="B31" s="3" t="s">
        <x:v>923</x:v>
      </x:c>
      <x:c r="C31" s="3" t="s">
        <x:v>896</x:v>
      </x:c>
      <x:c r="D31" s="4">
        <x:v>200000</x:v>
      </x:c>
      <x:c r="E31" s="4">
        <x:f>+D31*0.1</x:f>
        <x:v>20000</x:v>
      </x:c>
      <x:c r="F31" s="5">
        <x:f>+D31+E31</x:f>
        <x:v>220000</x:v>
      </x:c>
      <x:c r="G31" s="6" t="s">
        <x:v>1138</x:v>
      </x:c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5">+D32+E32</x:f>
        <x:v>143000</x:v>
      </x:c>
      <x:c r="G32" s="6"/>
      <x:c r="H32" s="299"/>
      <x:c r="I32" s="3" t="s">
        <x:v>169</x:v>
      </x:c>
      <x:c r="J32" s="3" t="s">
        <x:v>149</x:v>
      </x:c>
      <x:c r="K32" s="4">
        <x:v>1178383</x:v>
      </x:c>
      <x:c r="L32" s="4">
        <x:v>11827</x:v>
      </x:c>
      <x:c r="M32" s="5">
        <x:f>+K32+L32</x:f>
        <x:v>1190210</x:v>
      </x:c>
      <x:c r="N32" s="6"/>
    </x:row>
    <x:row r="33" spans="1:14" ht="20.100000000000001" customHeight="1">
      <x:c r="A33" s="299"/>
      <x:c r="B33" s="3" t="s">
        <x:v>185</x:v>
      </x:c>
      <x:c r="C33" s="3" t="s">
        <x:v>149</x:v>
      </x:c>
      <x:c r="D33" s="44">
        <x:v>1103720</x:v>
      </x:c>
      <x:c r="E33" s="44">
        <x:v>7000</x:v>
      </x:c>
      <x:c r="F33" s="45">
        <x:f t="shared" si="5"/>
        <x:v>1110720</x:v>
      </x:c>
      <x:c r="G33" s="6"/>
      <x:c r="H33" s="299"/>
      <x:c r="I33" s="3" t="s">
        <x:v>1120</x:v>
      </x:c>
      <x:c r="J33" s="3" t="s">
        <x:v>167</x:v>
      </x:c>
      <x:c r="K33" s="4">
        <x:v>25000</x:v>
      </x:c>
      <x:c r="L33" s="4">
        <x:f>K33*0.1</x:f>
        <x:v>2500</x:v>
      </x:c>
      <x:c r="M33" s="5">
        <x:f t="shared" si="4"/>
        <x:v>27500</x:v>
      </x:c>
      <x:c r="N33" s="6"/>
    </x:row>
    <x:row r="34" spans="1:14" ht="20.100000000000001" customHeight="1">
      <x:c r="A34" s="299"/>
      <x:c r="B34" s="3" t="s">
        <x:v>1699</x:v>
      </x:c>
      <x:c r="C34" s="3" t="s">
        <x:v>167</x:v>
      </x:c>
      <x:c r="D34" s="4"/>
      <x:c r="E34" s="4">
        <x:f>+D34*0.1</x:f>
        <x:v>0</x:v>
      </x:c>
      <x:c r="F34" s="5">
        <x:f t="shared" si="5"/>
        <x:v>0</x:v>
      </x:c>
      <x:c r="G34" s="6"/>
      <x:c r="H34" s="299"/>
      <x:c r="I34" s="3"/>
      <x:c r="J34" s="3"/>
      <x:c r="K34" s="4"/>
      <x:c r="L34" s="4"/>
      <x:c r="M34" s="5">
        <x:f t="shared" si="4"/>
        <x:v>0</x:v>
      </x:c>
      <x:c r="N34" s="6"/>
    </x:row>
    <x:row r="35" spans="1:14" ht="20.100000000000001" customHeight="1">
      <x:c r="A35" s="299"/>
      <x:c r="B35" s="3" t="s">
        <x:v>994</x:v>
      </x:c>
      <x:c r="C35" s="3" t="s">
        <x:v>8</x:v>
      </x:c>
      <x:c r="D35" s="4">
        <x:v>424546</x:v>
      </x:c>
      <x:c r="E35" s="4">
        <x:f>+D35*0.1-1</x:f>
        <x:v>42453.600000000006</x:v>
      </x:c>
      <x:c r="F35" s="5">
        <x:f t="shared" si="5"/>
        <x:v>466999.59999999998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5248266</x:v>
      </x:c>
      <x:c r="E38" s="9">
        <x:f>SUM(E28:E37)</x:f>
        <x:v>366453.59999999998</x:v>
      </x:c>
      <x:c r="F38" s="10">
        <x:f>SUM(F28:F37)</x:f>
        <x:v>5614719.5999999996</x:v>
      </x:c>
      <x:c r="G38" s="11"/>
      <x:c r="H38" s="7"/>
      <x:c r="I38" s="8"/>
      <x:c r="J38" s="8"/>
      <x:c r="K38" s="9">
        <x:f>SUM(K28:K37)</x:f>
        <x:v>2341564</x:v>
      </x:c>
      <x:c r="L38" s="9">
        <x:f>SUM(L28:L37)</x:f>
        <x:v>128146.10000000001</x:v>
      </x:c>
      <x:c r="M38" s="10">
        <x:f>SUM(M28:M37)</x:f>
        <x:v>2469710.1000000001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105729877</x:v>
      </x:c>
      <x:c r="E39" s="14">
        <x:f>+E17+E22+E27+E38</x:f>
        <x:v>5751614.6999999993</x:v>
      </x:c>
      <x:c r="F39" s="15">
        <x:f>+F17+F22+F27+F38</x:f>
        <x:v>111481491.69999999</x:v>
      </x:c>
      <x:c r="G39" s="16"/>
      <x:c r="H39" s="12"/>
      <x:c r="I39" s="13"/>
      <x:c r="J39" s="13"/>
      <x:c r="K39" s="14">
        <x:f>+K17+K22+K27+K38</x:f>
        <x:v>66238764</x:v>
      </x:c>
      <x:c r="L39" s="14">
        <x:f>+L17+L22+L27+L38</x:f>
        <x:v>3811866.1000000001</x:v>
      </x:c>
      <x:c r="M39" s="15">
        <x:f>+M17+M22+M27+M38</x:f>
        <x:v>70050630.099999994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39270123</x:v>
      </x:c>
      <x:c r="E40" s="25">
        <x:f>+E4-E39</x:f>
        <x:v>-5751614.6999999993</x:v>
      </x:c>
      <x:c r="F40" s="26">
        <x:f>+F4-F39</x:f>
        <x:v>33518508.300000012</x:v>
      </x:c>
      <x:c r="G40" s="27"/>
      <x:c r="H40" s="23"/>
      <x:c r="I40" s="24"/>
      <x:c r="J40" s="24"/>
      <x:c r="K40" s="25">
        <x:f>+K4-K39</x:f>
        <x:v>-21340764</x:v>
      </x:c>
      <x:c r="L40" s="25">
        <x:f>+L4-L39</x:f>
        <x:v>-3709866.1000000001</x:v>
      </x:c>
      <x:c r="M40" s="26">
        <x:f>+M4-M39</x:f>
        <x:v>-25050630.099999994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58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01" t="s">
        <x:v>144</x:v>
      </x:c>
      <x:c r="C42" s="101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01" t="s">
        <x:v>144</x:v>
      </x:c>
      <x:c r="J42" s="101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100" t="s">
        <x:v>151</x:v>
      </x:c>
      <x:c r="B43" s="38" t="s">
        <x:v>1679</x:v>
      </x:c>
      <x:c r="C43" s="38" t="s">
        <x:v>1030</x:v>
      </x:c>
      <x:c r="D43" s="39">
        <x:v>37245960</x:v>
      </x:c>
      <x:c r="E43" s="39">
        <x:v>2754040</x:v>
      </x:c>
      <x:c r="F43" s="40">
        <x:f t="shared" ref="F43:F57" si="6">+D43+E43</x:f>
        <x:v>40000000</x:v>
      </x:c>
      <x:c r="G43" s="18"/>
      <x:c r="H43" s="41" t="s">
        <x:v>151</x:v>
      </x:c>
      <x:c r="I43" s="38" t="s">
        <x:v>1679</x:v>
      </x:c>
      <x:c r="J43" s="38" t="s">
        <x:v>1678</x:v>
      </x:c>
      <x:c r="K43" s="39">
        <x:f>3650000+29010000</x:f>
        <x:v>32660000</x:v>
      </x:c>
      <x:c r="L43" s="39">
        <x:v>365000</x:v>
      </x:c>
      <x:c r="M43" s="40">
        <x:f>+K43+L43</x:f>
        <x:v>33025000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 t="s">
        <x:v>707</x:v>
      </x:c>
      <x:c r="D44" s="20">
        <x:v>4119020</x:v>
      </x:c>
      <x:c r="E44" s="20">
        <x:f t="shared" ref="E44:E49" si="7">D44*0.1</x:f>
        <x:v>411902</x:v>
      </x:c>
      <x:c r="F44" s="21">
        <x:f t="shared" si="6"/>
        <x:v>4530922</x:v>
      </x:c>
      <x:c r="G44" s="22"/>
      <x:c r="H44" s="298" t="s">
        <x:v>148</x:v>
      </x:c>
      <x:c r="I44" s="19" t="s">
        <x:v>846</x:v>
      </x:c>
      <x:c r="J44" s="19" t="s">
        <x:v>1140</x:v>
      </x:c>
      <x:c r="K44" s="20">
        <x:v>302500</x:v>
      </x:c>
      <x:c r="L44" s="20">
        <x:f t="shared" ref="L44:L50" si="8">K44*0.1</x:f>
        <x:v>30250</x:v>
      </x:c>
      <x:c r="M44" s="21">
        <x:f t="shared" ref="M44:M58" si="9">+K44+L44</x:f>
        <x:v>332750</x:v>
      </x:c>
      <x:c r="N44" s="22"/>
    </x:row>
    <x:row r="45" spans="1:14" ht="20.100000000000001" customHeight="1">
      <x:c r="A45" s="299"/>
      <x:c r="B45" s="3" t="s">
        <x:v>840</x:v>
      </x:c>
      <x:c r="C45" s="3"/>
      <x:c r="D45" s="4"/>
      <x:c r="E45" s="4">
        <x:f t="shared" si="7"/>
        <x:v>0</x:v>
      </x:c>
      <x:c r="F45" s="5">
        <x:f t="shared" si="6"/>
        <x:v>0</x:v>
      </x:c>
      <x:c r="G45" s="6"/>
      <x:c r="H45" s="299"/>
      <x:c r="I45" s="3" t="s">
        <x:v>1100</x:v>
      </x:c>
      <x:c r="J45" s="3" t="s">
        <x:v>1136</x:v>
      </x:c>
      <x:c r="K45" s="4">
        <x:v>600000</x:v>
      </x:c>
      <x:c r="L45" s="4">
        <x:f t="shared" si="8"/>
        <x:v>60000</x:v>
      </x:c>
      <x:c r="M45" s="5">
        <x:f t="shared" si="9"/>
        <x:v>660000</x:v>
      </x:c>
      <x:c r="N45" s="6"/>
    </x:row>
    <x:row r="46" spans="1:14" ht="20.100000000000001" customHeight="1">
      <x:c r="A46" s="299"/>
      <x:c r="B46" s="3" t="s">
        <x:v>21</x:v>
      </x:c>
      <x:c r="C46" s="3" t="s">
        <x:v>925</x:v>
      </x:c>
      <x:c r="D46" s="4">
        <x:v>15956800</x:v>
      </x:c>
      <x:c r="E46" s="4">
        <x:f t="shared" si="7"/>
        <x:v>1595680</x:v>
      </x:c>
      <x:c r="F46" s="5">
        <x:f t="shared" si="6"/>
        <x:v>17552480</x:v>
      </x:c>
      <x:c r="G46" s="6"/>
      <x:c r="H46" s="299"/>
      <x:c r="I46" s="3"/>
      <x:c r="J46" s="3"/>
      <x:c r="K46" s="4"/>
      <x:c r="L46" s="4">
        <x:f t="shared" si="8"/>
        <x:v>0</x:v>
      </x:c>
      <x:c r="M46" s="5">
        <x:f t="shared" si="9"/>
        <x:v>0</x:v>
      </x:c>
      <x:c r="N46" s="6"/>
    </x:row>
    <x:row r="47" spans="1:14" ht="20.100000000000001" customHeight="1">
      <x:c r="A47" s="299"/>
      <x:c r="B47" s="3" t="s">
        <x:v>907</x:v>
      </x:c>
      <x:c r="C47" s="3"/>
      <x:c r="D47" s="4"/>
      <x:c r="E47" s="4">
        <x:f t="shared" si="7"/>
        <x:v>0</x:v>
      </x:c>
      <x:c r="F47" s="5">
        <x:f t="shared" si="6"/>
        <x:v>0</x:v>
      </x:c>
      <x:c r="G47" s="6"/>
      <x:c r="H47" s="299"/>
      <x:c r="I47" s="3"/>
      <x:c r="J47" s="3"/>
      <x:c r="K47" s="4"/>
      <x:c r="L47" s="4">
        <x:f t="shared" si="8"/>
        <x:v>0</x:v>
      </x:c>
      <x:c r="M47" s="5">
        <x:f t="shared" si="9"/>
        <x:v>0</x:v>
      </x:c>
      <x:c r="N47" s="6"/>
    </x:row>
    <x:row r="48" spans="1:14" ht="20.100000000000001" customHeight="1">
      <x:c r="A48" s="299"/>
      <x:c r="B48" s="3" t="s">
        <x:v>976</x:v>
      </x:c>
      <x:c r="C48" s="3" t="s">
        <x:v>694</x:v>
      </x:c>
      <x:c r="D48" s="4">
        <x:v>278000</x:v>
      </x:c>
      <x:c r="E48" s="4">
        <x:f t="shared" si="7"/>
        <x:v>27800</x:v>
      </x:c>
      <x:c r="F48" s="5">
        <x:f t="shared" si="6"/>
        <x:v>305800</x:v>
      </x:c>
      <x:c r="G48" s="6"/>
      <x:c r="H48" s="299"/>
      <x:c r="I48" s="3"/>
      <x:c r="J48" s="3"/>
      <x:c r="K48" s="4"/>
      <x:c r="L48" s="4">
        <x:f t="shared" si="8"/>
        <x:v>0</x:v>
      </x:c>
      <x:c r="M48" s="5">
        <x:f t="shared" si="9"/>
        <x:v>0</x:v>
      </x:c>
      <x:c r="N48" s="6"/>
    </x:row>
    <x:row r="49" spans="1:14" ht="20.100000000000001" customHeight="1">
      <x:c r="A49" s="299"/>
      <x:c r="B49" s="3" t="s">
        <x:v>1058</x:v>
      </x:c>
      <x:c r="C49" s="3"/>
      <x:c r="D49" s="4"/>
      <x:c r="E49" s="4">
        <x:f t="shared" si="7"/>
        <x:v>0</x:v>
      </x:c>
      <x:c r="F49" s="5">
        <x:f t="shared" si="6"/>
        <x:v>0</x:v>
      </x:c>
      <x:c r="G49" s="6"/>
      <x:c r="H49" s="299"/>
      <x:c r="I49" s="3"/>
      <x:c r="J49" s="3"/>
      <x:c r="K49" s="4"/>
      <x:c r="L49" s="4">
        <x:f t="shared" si="8"/>
        <x:v>0</x:v>
      </x:c>
      <x:c r="M49" s="5">
        <x:f t="shared" si="9"/>
        <x:v>0</x:v>
      </x:c>
      <x:c r="N49" s="6"/>
    </x:row>
    <x:row r="50" spans="1:14" ht="20.100000000000001" customHeight="1">
      <x:c r="A50" s="299"/>
      <x:c r="B50" s="3" t="s">
        <x:v>846</x:v>
      </x:c>
      <x:c r="C50" s="3" t="s">
        <x:v>702</x:v>
      </x:c>
      <x:c r="D50" s="4">
        <x:v>4093640</x:v>
      </x:c>
      <x:c r="E50" s="4">
        <x:f t="shared" ref="E50:E57" si="10">+INT(D50*0.1)</x:f>
        <x:v>409364</x:v>
      </x:c>
      <x:c r="F50" s="5">
        <x:f t="shared" si="6"/>
        <x:v>4503004</x:v>
      </x:c>
      <x:c r="G50" s="6"/>
      <x:c r="H50" s="299"/>
      <x:c r="I50" s="3"/>
      <x:c r="J50" s="3"/>
      <x:c r="K50" s="4"/>
      <x:c r="L50" s="4">
        <x:f t="shared" si="8"/>
        <x:v>0</x:v>
      </x:c>
      <x:c r="M50" s="5">
        <x:f t="shared" si="9"/>
        <x:v>0</x:v>
      </x:c>
      <x:c r="N50" s="6"/>
    </x:row>
    <x:row r="51" spans="1:14" ht="20.100000000000001" customHeight="1">
      <x:c r="A51" s="299"/>
      <x:c r="B51" s="3" t="s">
        <x:v>938</x:v>
      </x:c>
      <x:c r="C51" s="3" t="s">
        <x:v>191</x:v>
      </x:c>
      <x:c r="D51" s="4">
        <x:v>141000</x:v>
      </x:c>
      <x:c r="E51" s="4">
        <x:f t="shared" si="10"/>
        <x:v>14100</x:v>
      </x:c>
      <x:c r="F51" s="5">
        <x:f t="shared" si="6"/>
        <x:v>155100</x:v>
      </x:c>
      <x:c r="G51" s="6"/>
      <x:c r="H51" s="299"/>
      <x:c r="I51" s="3"/>
      <x:c r="J51" s="3"/>
      <x:c r="K51" s="4"/>
      <x:c r="L51" s="4">
        <x:f>K51*0.1</x:f>
        <x:v>0</x:v>
      </x:c>
      <x:c r="M51" s="5">
        <x:f t="shared" si="9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10"/>
        <x:v>0</x:v>
      </x:c>
      <x:c r="F52" s="5">
        <x:f t="shared" si="6"/>
        <x:v>0</x:v>
      </x:c>
      <x:c r="G52" s="6"/>
      <x:c r="H52" s="299"/>
      <x:c r="I52" s="3"/>
      <x:c r="J52" s="3"/>
      <x:c r="K52" s="4"/>
      <x:c r="L52" s="4">
        <x:f>+K52*0.1</x:f>
        <x:v>0</x:v>
      </x:c>
      <x:c r="M52" s="5">
        <x:f>+K52+L52</x:f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0"/>
        <x:v>0</x:v>
      </x:c>
      <x:c r="F53" s="5">
        <x:f t="shared" si="6"/>
        <x:v>0</x:v>
      </x:c>
      <x:c r="G53" s="6"/>
      <x:c r="H53" s="299"/>
      <x:c r="I53" s="3"/>
      <x:c r="J53" s="3"/>
      <x:c r="K53" s="4"/>
      <x:c r="L53" s="4"/>
      <x:c r="M53" s="5">
        <x:f>+K53+L53</x:f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0"/>
        <x:v>0</x:v>
      </x:c>
      <x:c r="F54" s="5">
        <x:f t="shared" si="6"/>
        <x:v>0</x:v>
      </x:c>
      <x:c r="G54" s="6"/>
      <x:c r="H54" s="299"/>
      <x:c r="I54" s="3"/>
      <x:c r="J54" s="3"/>
      <x:c r="K54" s="4"/>
      <x:c r="L54" s="4">
        <x:f>+K54*0.1</x:f>
        <x:v>0</x:v>
      </x:c>
      <x:c r="M54" s="5">
        <x:f t="shared" si="9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10"/>
        <x:v>0</x:v>
      </x:c>
      <x:c r="F55" s="5">
        <x:f t="shared" si="6"/>
        <x:v>0</x:v>
      </x:c>
      <x:c r="G55" s="6"/>
      <x:c r="H55" s="299"/>
      <x:c r="I55" s="3"/>
      <x:c r="J55" s="3"/>
      <x:c r="K55" s="4"/>
      <x:c r="L55" s="4">
        <x:f>+K55*0.1</x:f>
        <x:v>0</x:v>
      </x:c>
      <x:c r="M55" s="5">
        <x:f t="shared" si="9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0"/>
        <x:v>0</x:v>
      </x:c>
      <x:c r="F56" s="5">
        <x:f t="shared" si="6"/>
        <x:v>0</x:v>
      </x:c>
      <x:c r="G56" s="6"/>
      <x:c r="H56" s="299"/>
      <x:c r="I56" s="3"/>
      <x:c r="J56" s="3"/>
      <x:c r="K56" s="4"/>
      <x:c r="L56" s="4">
        <x:f>+K56*0.1</x:f>
        <x:v>0</x:v>
      </x:c>
      <x:c r="M56" s="5">
        <x:f t="shared" si="9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0"/>
        <x:v>0</x:v>
      </x:c>
      <x:c r="F57" s="5">
        <x:f t="shared" si="6"/>
        <x:v>0</x:v>
      </x:c>
      <x:c r="G57" s="6"/>
      <x:c r="H57" s="299"/>
      <x:c r="I57" s="3"/>
      <x:c r="J57" s="3"/>
      <x:c r="K57" s="4"/>
      <x:c r="L57" s="4">
        <x:f>+K57*0.1</x:f>
        <x:v>0</x:v>
      </x:c>
      <x:c r="M57" s="5">
        <x:f t="shared" si="9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>
        <x:f>+K58*0.1</x:f>
        <x:v>0</x:v>
      </x:c>
      <x:c r="M58" s="5">
        <x:f t="shared" si="9"/>
        <x:v>0</x:v>
      </x:c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24588460</x:v>
      </x:c>
      <x:c r="E59" s="9">
        <x:f>SUM(E44:E58)</x:f>
        <x:v>2458846</x:v>
      </x:c>
      <x:c r="F59" s="10">
        <x:f>SUM(F44:F58)</x:f>
        <x:v>27047306</x:v>
      </x:c>
      <x:c r="G59" s="11"/>
      <x:c r="H59" s="7"/>
      <x:c r="I59" s="8"/>
      <x:c r="J59" s="8"/>
      <x:c r="K59" s="9">
        <x:f>SUM(K44:K58)</x:f>
        <x:v>902500</x:v>
      </x:c>
      <x:c r="L59" s="9">
        <x:f>SUM(L44:L58)</x:f>
        <x:v>90250</x:v>
      </x:c>
      <x:c r="M59" s="10">
        <x:f>SUM(M44:M58)</x:f>
        <x:v>992750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1095</x:v>
      </x:c>
      <x:c r="D60" s="44">
        <x:v>30115000</x:v>
      </x:c>
      <x:c r="E60" s="44"/>
      <x:c r="F60" s="45">
        <x:f>+D60+E60</x:f>
        <x:v>30115000</x:v>
      </x:c>
      <x:c r="G60" s="37"/>
      <x:c r="H60" s="301" t="s">
        <x:v>153</x:v>
      </x:c>
      <x:c r="I60" s="3" t="s">
        <x:v>1677</x:v>
      </x:c>
      <x:c r="J60" s="3" t="s">
        <x:v>1096</x:v>
      </x:c>
      <x:c r="K60" s="4"/>
      <x:c r="L60" s="4"/>
      <x:c r="M60" s="5">
        <x:f>+K60+L60</x:f>
        <x:v>0</x:v>
      </x:c>
      <x:c r="N60" s="6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"/>
      <x:c r="L61" s="4">
        <x:f>+K61*0.1</x:f>
        <x:v>0</x:v>
      </x:c>
      <x:c r="M61" s="5">
        <x:f>+K61+L61</x:f>
        <x:v>0</x:v>
      </x:c>
      <x:c r="N61" s="6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30115000</x:v>
      </x:c>
      <x:c r="E64" s="9">
        <x:f>SUM(E60:E63)</x:f>
        <x:v>0</x:v>
      </x:c>
      <x:c r="F64" s="10">
        <x:f>SUM(F60:F63)</x:f>
        <x:v>30115000</x:v>
      </x:c>
      <x:c r="G64" s="11"/>
      <x:c r="H64" s="7"/>
      <x:c r="I64" s="8"/>
      <x:c r="J64" s="8"/>
      <x:c r="K64" s="9">
        <x:f>SUM(K60:K63)</x:f>
        <x:v>0</x:v>
      </x:c>
      <x:c r="L64" s="9">
        <x:f>SUM(L60:L63)</x:f>
        <x:v>0</x:v>
      </x:c>
      <x:c r="M64" s="10">
        <x:f>SUM(M60:M63)</x:f>
        <x:v>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/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172</x:v>
      </x:c>
      <x:c r="C70" s="3" t="s">
        <x:v>66</x:v>
      </x:c>
      <x:c r="D70" s="4">
        <x:v>450000</x:v>
      </x:c>
      <x:c r="E70" s="4">
        <x:f>+D70*0.1</x:f>
        <x:v>45000</x:v>
      </x:c>
      <x:c r="F70" s="5">
        <x:f>+D70+E70</x:f>
        <x:v>495000</x:v>
      </x:c>
      <x:c r="G70" s="6"/>
      <x:c r="H70" s="301" t="s">
        <x:v>149</x:v>
      </x:c>
      <x:c r="I70" s="3" t="s">
        <x:v>177</x:v>
      </x:c>
      <x:c r="J70" s="3" t="s">
        <x:v>837</x:v>
      </x:c>
      <x:c r="K70" s="4"/>
      <x:c r="L70" s="4"/>
      <x:c r="M70" s="5">
        <x:f t="shared" ref="M70:M77" si="11">+K70+L70</x:f>
        <x:v>0</x:v>
      </x:c>
      <x:c r="N70" s="6"/>
    </x:row>
    <x:row r="71" spans="1:14" ht="20.100000000000001" customHeight="1">
      <x:c r="A71" s="299"/>
      <x:c r="B71" s="3" t="s">
        <x:v>177</x:v>
      </x:c>
      <x:c r="C71" s="3" t="s">
        <x:v>149</x:v>
      </x:c>
      <x:c r="D71" s="4">
        <x:v>1051020</x:v>
      </x:c>
      <x:c r="E71" s="4"/>
      <x:c r="F71" s="5">
        <x:f t="shared" ref="F71:F79" si="12">+D71+E71</x:f>
        <x:v>1051020</x:v>
      </x:c>
      <x:c r="G71" s="6"/>
      <x:c r="H71" s="299"/>
      <x:c r="I71" s="3" t="s">
        <x:v>945</x:v>
      </x:c>
      <x:c r="J71" s="3" t="s">
        <x:v>962</x:v>
      </x:c>
      <x:c r="K71" s="4"/>
      <x:c r="L71" s="4">
        <x:f>+K71*0.1</x:f>
        <x:v>0</x:v>
      </x:c>
      <x:c r="M71" s="5">
        <x:f t="shared" si="11"/>
        <x:v>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>
        <x:v>30000</x:v>
      </x:c>
      <x:c r="E72" s="4">
        <x:f>+D72*0.1</x:f>
        <x:v>3000</x:v>
      </x:c>
      <x:c r="F72" s="5">
        <x:f t="shared" si="12"/>
        <x:v>33000</x:v>
      </x:c>
      <x:c r="G72" s="6"/>
      <x:c r="H72" s="299"/>
      <x:c r="I72" s="3" t="s">
        <x:v>1038</x:v>
      </x:c>
      <x:c r="J72" s="3" t="s">
        <x:v>167</x:v>
      </x:c>
      <x:c r="K72" s="4"/>
      <x:c r="L72" s="4"/>
      <x:c r="M72" s="5">
        <x:f t="shared" si="11"/>
        <x:v>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2"/>
        <x:v>110000</x:v>
      </x:c>
      <x:c r="G73" s="6"/>
      <x:c r="H73" s="299"/>
      <x:c r="I73" s="3"/>
      <x:c r="J73" s="3"/>
      <x:c r="K73" s="4"/>
      <x:c r="L73" s="4">
        <x:f>+K73*0.1</x:f>
        <x:v>0</x:v>
      </x:c>
      <x:c r="M73" s="5">
        <x:f t="shared" si="11"/>
        <x:v>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985000</x:v>
      </x:c>
      <x:c r="E74" s="4">
        <x:f>D74*0.1</x:f>
        <x:v>98500</x:v>
      </x:c>
      <x:c r="F74" s="5">
        <x:f t="shared" si="12"/>
        <x:v>1083500</x:v>
      </x:c>
      <x:c r="G74" s="6"/>
      <x:c r="H74" s="299"/>
      <x:c r="I74" s="3"/>
      <x:c r="J74" s="3"/>
      <x:c r="K74" s="4"/>
      <x:c r="L74" s="4">
        <x:f>+K74*0.1</x:f>
        <x:v>0</x:v>
      </x:c>
      <x:c r="M74" s="5">
        <x:f t="shared" si="11"/>
        <x:v>0</x:v>
      </x:c>
      <x:c r="N74" s="6"/>
    </x:row>
    <x:row r="75" spans="1:14" ht="20.100000000000001" customHeight="1">
      <x:c r="A75" s="299"/>
      <x:c r="B75" s="3" t="s">
        <x:v>926</x:v>
      </x:c>
      <x:c r="C75" s="3" t="s">
        <x:v>927</x:v>
      </x:c>
      <x:c r="D75" s="4">
        <x:v>367870</x:v>
      </x:c>
      <x:c r="E75" s="4"/>
      <x:c r="F75" s="5">
        <x:f t="shared" si="12"/>
        <x:v>367870</x:v>
      </x:c>
      <x:c r="G75" s="6"/>
      <x:c r="H75" s="299"/>
      <x:c r="I75" s="3"/>
      <x:c r="J75" s="3"/>
      <x:c r="K75" s="4"/>
      <x:c r="L75" s="4"/>
      <x:c r="M75" s="5">
        <x:f t="shared" si="11"/>
        <x:v>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2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2"/>
        <x:v>0</x:v>
      </x:c>
      <x:c r="G77" s="6"/>
      <x:c r="H77" s="299"/>
      <x:c r="I77" s="3"/>
      <x:c r="J77" s="3"/>
      <x:c r="K77" s="4"/>
      <x:c r="L77" s="4">
        <x:f>+K77*0.1</x:f>
        <x:v>0</x:v>
      </x:c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2"/>
        <x:v>0</x:v>
      </x:c>
      <x:c r="G79" s="6"/>
      <x:c r="H79" s="300"/>
      <x:c r="I79" s="3"/>
      <x:c r="J79" s="3"/>
      <x:c r="K79" s="4"/>
      <x:c r="L79" s="4">
        <x:f>+K79*0.1</x:f>
        <x:v>0</x:v>
      </x:c>
      <x:c r="M79" s="5">
        <x:f>+K79+L79</x:f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2983890</x:v>
      </x:c>
      <x:c r="E80" s="9">
        <x:f>SUM(E70:E79)</x:f>
        <x:v>156500</x:v>
      </x:c>
      <x:c r="F80" s="10">
        <x:f>SUM(F70:F79)</x:f>
        <x:v>3140390</x:v>
      </x:c>
      <x:c r="G80" s="11"/>
      <x:c r="H80" s="7"/>
      <x:c r="I80" s="8"/>
      <x:c r="J80" s="8"/>
      <x:c r="K80" s="9">
        <x:f>SUM(K70:K79)</x:f>
        <x:v>0</x:v>
      </x:c>
      <x:c r="L80" s="9">
        <x:f>SUM(L70:L79)</x:f>
        <x:v>0</x:v>
      </x:c>
      <x:c r="M80" s="10">
        <x:f>SUM(M70:M79)</x:f>
        <x:v>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57987350</x:v>
      </x:c>
      <x:c r="E81" s="14">
        <x:f>+E59+E64+E69+E80</x:f>
        <x:v>2645346</x:v>
      </x:c>
      <x:c r="F81" s="15">
        <x:f>+F59+F64+F69+F80</x:f>
        <x:v>60632696</x:v>
      </x:c>
      <x:c r="G81" s="16"/>
      <x:c r="H81" s="12"/>
      <x:c r="I81" s="13"/>
      <x:c r="J81" s="13"/>
      <x:c r="K81" s="14">
        <x:f>+K59+K64+K69+K80</x:f>
        <x:v>902500</x:v>
      </x:c>
      <x:c r="L81" s="14">
        <x:f>+L59+L64+L69+L80</x:f>
        <x:v>90250</x:v>
      </x:c>
      <x:c r="M81" s="15">
        <x:f>+M59+M64+M69+M80</x:f>
        <x:v>992750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-20741390</x:v>
      </x:c>
      <x:c r="E82" s="25">
        <x:f>+E43-E81</x:f>
        <x:v>108694</x:v>
      </x:c>
      <x:c r="F82" s="26">
        <x:f>+F43-F81</x:f>
        <x:v>-20632696</x:v>
      </x:c>
      <x:c r="G82" s="27"/>
      <x:c r="H82" s="23"/>
      <x:c r="I82" s="24"/>
      <x:c r="J82" s="24"/>
      <x:c r="K82" s="25">
        <x:f>+K43-K81</x:f>
        <x:v>31757500</x:v>
      </x:c>
      <x:c r="L82" s="25">
        <x:f>+L43-L81</x:f>
        <x:v>274750</x:v>
      </x:c>
      <x:c r="M82" s="26">
        <x:f>+M43-M81</x:f>
        <x:v>32032250</x:v>
      </x:c>
      <x:c r="N82" s="27"/>
    </x:row>
    <x:row r="83" spans="1:14" ht="20.100000000000001" customHeight="1">
      <x:c r="A83" s="302" t="s">
        <x:v>1021</x:v>
      </x:c>
      <x:c r="B83" s="303"/>
      <x:c r="C83" s="303"/>
      <x:c r="D83" s="303"/>
      <x:c r="E83" s="303"/>
      <x:c r="F83" s="304"/>
      <x:c r="G83" s="305"/>
      <x:c r="H83" s="302" t="s">
        <x:v>1025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01" t="s">
        <x:v>144</x:v>
      </x:c>
      <x:c r="C84" s="101" t="s">
        <x:v>150</x:v>
      </x:c>
      <x:c r="D84" s="31" t="s">
        <x:v>145</x:v>
      </x:c>
      <x:c r="E84" s="31" t="s">
        <x:v>152</x:v>
      </x:c>
      <x:c r="F84" s="32" t="s">
        <x:v>146</x:v>
      </x:c>
      <x:c r="G84" s="33" t="s">
        <x:v>154</x:v>
      </x:c>
      <x:c r="H84" s="29" t="s">
        <x:v>147</x:v>
      </x:c>
      <x:c r="I84" s="101" t="s">
        <x:v>144</x:v>
      </x:c>
      <x:c r="J84" s="101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100" t="s">
        <x:v>151</x:v>
      </x:c>
      <x:c r="B85" s="38" t="s">
        <x:v>1679</x:v>
      </x:c>
      <x:c r="C85" s="38" t="s">
        <x:v>1030</x:v>
      </x:c>
      <x:c r="D85" s="39">
        <x:v>29684425</x:v>
      </x:c>
      <x:c r="E85" s="39">
        <x:v>315575</x:v>
      </x:c>
      <x:c r="F85" s="40">
        <x:f>+D85+E85</x:f>
        <x:v>30000000</x:v>
      </x:c>
      <x:c r="G85" s="18"/>
      <x:c r="H85" s="41" t="s">
        <x:v>151</x:v>
      </x:c>
      <x:c r="I85" s="38" t="s">
        <x:v>1679</x:v>
      </x:c>
      <x:c r="J85" s="38" t="s">
        <x:v>1030</x:v>
      </x:c>
      <x:c r="K85" s="39">
        <x:v>64435928</x:v>
      </x:c>
      <x:c r="L85" s="39">
        <x:v>564072</x:v>
      </x:c>
      <x:c r="M85" s="40">
        <x:f>+K85+L85</x:f>
        <x:v>65000000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24</x:v>
      </x:c>
      <x:c r="D86" s="20">
        <x:v>196000</x:v>
      </x:c>
      <x:c r="E86" s="20">
        <x:f>+D86*0.1</x:f>
        <x:v>19600</x:v>
      </x:c>
      <x:c r="F86" s="21">
        <x:f>+D86+E86</x:f>
        <x:v>215600</x:v>
      </x:c>
      <x:c r="G86" s="22"/>
      <x:c r="H86" s="298" t="s">
        <x:v>148</x:v>
      </x:c>
      <x:c r="I86" s="19" t="s">
        <x:v>838</x:v>
      </x:c>
      <x:c r="J86" s="19" t="s">
        <x:v>1116</x:v>
      </x:c>
      <x:c r="K86" s="20">
        <x:v>5092490</x:v>
      </x:c>
      <x:c r="L86" s="20">
        <x:f>+K86*0.1</x:f>
        <x:v>509249</x:v>
      </x:c>
      <x:c r="M86" s="21">
        <x:f t="shared" ref="M86:M100" si="13">+K86+L86</x:f>
        <x:v>5601739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>
        <x:v>2322000</x:v>
      </x:c>
      <x:c r="E87" s="4">
        <x:f>+D87*0.1</x:f>
        <x:v>232200</x:v>
      </x:c>
      <x:c r="F87" s="5">
        <x:f>+D87+E87</x:f>
        <x:v>2554200</x:v>
      </x:c>
      <x:c r="G87" s="6"/>
      <x:c r="H87" s="299"/>
      <x:c r="I87" s="3" t="s">
        <x:v>867</x:v>
      </x:c>
      <x:c r="J87" s="3" t="s">
        <x:v>384</x:v>
      </x:c>
      <x:c r="K87" s="4">
        <x:v>9490880</x:v>
      </x:c>
      <x:c r="L87" s="4">
        <x:f>K87*0.1</x:f>
        <x:v>949088</x:v>
      </x:c>
      <x:c r="M87" s="5">
        <x:f t="shared" si="13"/>
        <x:v>10439968</x:v>
      </x:c>
      <x:c r="N87" s="6"/>
    </x:row>
    <x:row r="88" spans="1:14" ht="20.100000000000001" customHeight="1">
      <x:c r="A88" s="299"/>
      <x:c r="B88" s="3" t="s">
        <x:v>907</x:v>
      </x:c>
      <x:c r="C88" s="3"/>
      <x:c r="D88" s="4"/>
      <x:c r="E88" s="4">
        <x:f>+D88*0.1</x:f>
        <x:v>0</x:v>
      </x:c>
      <x:c r="F88" s="5">
        <x:f>+D88+E88</x:f>
        <x:v>0</x:v>
      </x:c>
      <x:c r="G88" s="6"/>
      <x:c r="H88" s="299"/>
      <x:c r="I88" s="3" t="s">
        <x:v>907</x:v>
      </x:c>
      <x:c r="J88" s="3"/>
      <x:c r="K88" s="4"/>
      <x:c r="L88" s="4">
        <x:f t="shared" ref="L88:L100" si="14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840</x:v>
      </x:c>
      <x:c r="C89" s="3"/>
      <x:c r="D89" s="4"/>
      <x:c r="E89" s="4">
        <x:f>+INT(D89*0.1)</x:f>
        <x:v>0</x:v>
      </x:c>
      <x:c r="F89" s="5">
        <x:f t="shared" ref="F89:F99" si="15">+D89+E89</x:f>
        <x:v>0</x:v>
      </x:c>
      <x:c r="G89" s="6"/>
      <x:c r="H89" s="299"/>
      <x:c r="I89" s="3" t="s">
        <x:v>1058</x:v>
      </x:c>
      <x:c r="J89" s="3" t="s">
        <x:v>386</x:v>
      </x:c>
      <x:c r="K89" s="4">
        <x:v>4996760</x:v>
      </x:c>
      <x:c r="L89" s="4">
        <x:f t="shared" si="14"/>
        <x:v>499676</x:v>
      </x:c>
      <x:c r="M89" s="5">
        <x:f t="shared" si="13"/>
        <x:v>5496436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ref="E90:E99" si="16">+INT(D90*0.1)</x:f>
        <x:v>0</x:v>
      </x:c>
      <x:c r="F90" s="5">
        <x:f t="shared" si="15"/>
        <x:v>0</x:v>
      </x:c>
      <x:c r="G90" s="6"/>
      <x:c r="H90" s="299"/>
      <x:c r="I90" s="3" t="s">
        <x:v>976</x:v>
      </x:c>
      <x:c r="J90" s="3" t="s">
        <x:v>661</x:v>
      </x:c>
      <x:c r="K90" s="4">
        <x:v>380000</x:v>
      </x:c>
      <x:c r="L90" s="4">
        <x:f>+K90*0.1</x:f>
        <x:v>38000</x:v>
      </x:c>
      <x:c r="M90" s="5">
        <x:f t="shared" si="13"/>
        <x:v>418000</x:v>
      </x:c>
      <x:c r="N90" s="6"/>
    </x:row>
    <x:row r="91" spans="1:14" ht="20.100000000000001" customHeight="1">
      <x:c r="A91" s="299"/>
      <x:c r="B91" s="3" t="s">
        <x:v>1058</x:v>
      </x:c>
      <x:c r="C91" s="3" t="s">
        <x:v>387</x:v>
      </x:c>
      <x:c r="D91" s="4">
        <x:v>2524480</x:v>
      </x:c>
      <x:c r="E91" s="4">
        <x:f t="shared" si="16"/>
        <x:v>252448</x:v>
      </x:c>
      <x:c r="F91" s="5">
        <x:f t="shared" si="15"/>
        <x:v>2776928</x:v>
      </x:c>
      <x:c r="G91" s="6"/>
      <x:c r="H91" s="299"/>
      <x:c r="I91" s="3" t="s">
        <x:v>967</x:v>
      </x:c>
      <x:c r="J91" s="3"/>
      <x:c r="K91" s="4"/>
      <x:c r="L91" s="4">
        <x:f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 t="s">
        <x:v>967</x:v>
      </x:c>
      <x:c r="C92" s="3"/>
      <x:c r="D92" s="4"/>
      <x:c r="E92" s="4">
        <x:f t="shared" si="16"/>
        <x:v>0</x:v>
      </x:c>
      <x:c r="F92" s="5">
        <x:f t="shared" si="15"/>
        <x:v>0</x:v>
      </x:c>
      <x:c r="G92" s="6"/>
      <x:c r="H92" s="299"/>
      <x:c r="I92" s="3" t="s">
        <x:v>1705</x:v>
      </x:c>
      <x:c r="J92" s="3" t="s">
        <x:v>1139</x:v>
      </x:c>
      <x:c r="K92" s="4">
        <x:v>180000</x:v>
      </x:c>
      <x:c r="L92" s="4">
        <x:f>+K92*0.1</x:f>
        <x:v>18000</x:v>
      </x:c>
      <x:c r="M92" s="5">
        <x:f>+K92+L92</x:f>
        <x:v>198000</x:v>
      </x:c>
      <x:c r="N92" s="6"/>
    </x:row>
    <x:row r="93" spans="1:14" ht="20.100000000000001" customHeight="1">
      <x:c r="A93" s="299"/>
      <x:c r="B93" s="3" t="s">
        <x:v>846</x:v>
      </x:c>
      <x:c r="C93" s="3" t="s">
        <x:v>1137</x:v>
      </x:c>
      <x:c r="D93" s="4">
        <x:v>538000</x:v>
      </x:c>
      <x:c r="E93" s="4">
        <x:f t="shared" si="16"/>
        <x:v>53800</x:v>
      </x:c>
      <x:c r="F93" s="5">
        <x:f t="shared" si="15"/>
        <x:v>591800</x:v>
      </x:c>
      <x:c r="G93" s="6"/>
      <x:c r="H93" s="299"/>
      <x:c r="I93" s="3" t="s">
        <x:v>1119</x:v>
      </x:c>
      <x:c r="J93" s="3" t="s">
        <x:v>710</x:v>
      </x:c>
      <x:c r="K93" s="4">
        <x:v>201350</x:v>
      </x:c>
      <x:c r="L93" s="4">
        <x:f>+K93*0.1</x:f>
        <x:v>20135</x:v>
      </x:c>
      <x:c r="M93" s="5">
        <x:f>+K93+L93</x:f>
        <x:v>221485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>+INT(D94*0.1)</x:f>
        <x:v>0</x:v>
      </x:c>
      <x:c r="F94" s="5">
        <x:f>+D94+E94</x:f>
        <x:v>0</x:v>
      </x:c>
      <x:c r="G94" s="6"/>
      <x:c r="H94" s="299"/>
      <x:c r="I94" s="3" t="s">
        <x:v>846</x:v>
      </x:c>
      <x:c r="J94" s="3" t="s">
        <x:v>1148</x:v>
      </x:c>
      <x:c r="K94" s="4">
        <x:v>1444100</x:v>
      </x:c>
      <x:c r="L94" s="4">
        <x:f t="shared" si="14"/>
        <x:v>144410</x:v>
      </x:c>
      <x:c r="M94" s="5">
        <x:f t="shared" si="13"/>
        <x:v>1588510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6"/>
        <x:v>0</x:v>
      </x:c>
      <x:c r="F95" s="5">
        <x:f t="shared" si="15"/>
        <x:v>0</x:v>
      </x:c>
      <x:c r="G95" s="6"/>
      <x:c r="H95" s="299"/>
      <x:c r="I95" s="3" t="s">
        <x:v>938</x:v>
      </x:c>
      <x:c r="J95" s="3" t="s">
        <x:v>953</x:v>
      </x:c>
      <x:c r="K95" s="4">
        <x:v>305000</x:v>
      </x:c>
      <x:c r="L95" s="4">
        <x:f t="shared" si="14"/>
        <x:v>30500</x:v>
      </x:c>
      <x:c r="M95" s="5">
        <x:f t="shared" si="13"/>
        <x:v>335500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 t="shared" si="15"/>
        <x:v>0</x:v>
      </x:c>
      <x:c r="G96" s="6"/>
      <x:c r="H96" s="299"/>
      <x:c r="I96" s="3"/>
      <x:c r="J96" s="3"/>
      <x:c r="K96" s="4"/>
      <x:c r="L96" s="4">
        <x:f t="shared" si="14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6"/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4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6"/>
        <x:v>0</x:v>
      </x:c>
      <x:c r="F98" s="5">
        <x:f t="shared" si="15"/>
        <x:v>0</x:v>
      </x:c>
      <x:c r="G98" s="6"/>
      <x:c r="H98" s="299"/>
      <x:c r="I98" s="3"/>
      <x:c r="J98" s="3"/>
      <x:c r="K98" s="4"/>
      <x:c r="L98" s="4">
        <x:f t="shared" si="14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5"/>
        <x:v>0</x:v>
      </x:c>
      <x:c r="G99" s="6"/>
      <x:c r="H99" s="299"/>
      <x:c r="I99" s="3"/>
      <x:c r="J99" s="3"/>
      <x:c r="K99" s="4"/>
      <x:c r="L99" s="4">
        <x:f t="shared" si="14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/>
      <x:c r="F100" s="5"/>
      <x:c r="G100" s="6"/>
      <x:c r="H100" s="300"/>
      <x:c r="I100" s="3"/>
      <x:c r="J100" s="3"/>
      <x:c r="K100" s="4"/>
      <x:c r="L100" s="4">
        <x:f t="shared" si="14"/>
        <x:v>0</x:v>
      </x:c>
      <x:c r="M100" s="5">
        <x:f t="shared" si="13"/>
        <x:v>0</x:v>
      </x:c>
      <x:c r="N100" s="6"/>
    </x:row>
    <x:row r="101" spans="1:14" ht="20.100000000000001" customHeight="1">
      <x:c r="A101" s="7" t="s">
        <x:v>155</x:v>
      </x:c>
      <x:c r="B101" s="8"/>
      <x:c r="C101" s="8"/>
      <x:c r="D101" s="9">
        <x:f>SUM(D86:D100)</x:f>
        <x:v>5580480</x:v>
      </x:c>
      <x:c r="E101" s="9">
        <x:f>SUM(E86:E100)</x:f>
        <x:v>558048</x:v>
      </x:c>
      <x:c r="F101" s="10">
        <x:f>SUM(F86:F100)</x:f>
        <x:v>6138528</x:v>
      </x:c>
      <x:c r="G101" s="11"/>
      <x:c r="H101" s="7"/>
      <x:c r="I101" s="8"/>
      <x:c r="J101" s="8"/>
      <x:c r="K101" s="9">
        <x:f>SUM(K86:K100)</x:f>
        <x:v>22090580</x:v>
      </x:c>
      <x:c r="L101" s="9">
        <x:f>SUM(L86:L100)</x:f>
        <x:v>2209058</x:v>
      </x:c>
      <x:c r="M101" s="10">
        <x:f>SUM(M86:M100)</x:f>
        <x:v>24299638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1114</x:v>
      </x:c>
      <x:c r="D102" s="44">
        <x:v>24957200</x:v>
      </x:c>
      <x:c r="E102" s="44"/>
      <x:c r="F102" s="45">
        <x:f>+D102+E102</x:f>
        <x:v>24957200</x:v>
      </x:c>
      <x:c r="G102" s="37"/>
      <x:c r="H102" s="301" t="s">
        <x:v>153</x:v>
      </x:c>
      <x:c r="I102" s="3" t="s">
        <x:v>1677</x:v>
      </x:c>
      <x:c r="J102" s="3" t="s">
        <x:v>1129</x:v>
      </x:c>
      <x:c r="K102" s="4">
        <x:v>15305000</x:v>
      </x:c>
      <x:c r="L102" s="4"/>
      <x:c r="M102" s="5">
        <x:f>+K102+L102</x:f>
        <x:v>15305000</x:v>
      </x:c>
      <x:c r="N102" s="6"/>
    </x:row>
    <x:row r="103" spans="1:14" ht="20.100000000000001" customHeight="1">
      <x:c r="A103" s="299"/>
      <x:c r="B103" s="3"/>
      <x:c r="C103" s="3"/>
      <x:c r="D103" s="44"/>
      <x:c r="E103" s="44">
        <x:f>+D103*0.1</x:f>
        <x:v>0</x:v>
      </x:c>
      <x:c r="F103" s="45">
        <x:f>+D103+E103</x:f>
        <x:v>0</x:v>
      </x:c>
      <x:c r="G103" s="37"/>
      <x:c r="H103" s="299"/>
      <x:c r="I103" s="3" t="s">
        <x:v>695</x:v>
      </x:c>
      <x:c r="J103" s="3" t="s">
        <x:v>1127</x:v>
      </x:c>
      <x:c r="K103" s="4">
        <x:v>18350000</x:v>
      </x:c>
      <x:c r="L103" s="4"/>
      <x:c r="M103" s="5">
        <x:f>+K103+L103</x:f>
        <x:v>18350000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 t="s">
        <x:v>155</x:v>
      </x:c>
      <x:c r="B106" s="8"/>
      <x:c r="C106" s="8"/>
      <x:c r="D106" s="9">
        <x:f>SUM(D102:D105)</x:f>
        <x:v>24957200</x:v>
      </x:c>
      <x:c r="E106" s="9">
        <x:f>SUM(E102:E105)</x:f>
        <x:v>0</x:v>
      </x:c>
      <x:c r="F106" s="10">
        <x:f>SUM(F102:F105)</x:f>
        <x:v>24957200</x:v>
      </x:c>
      <x:c r="G106" s="11"/>
      <x:c r="H106" s="7"/>
      <x:c r="I106" s="8"/>
      <x:c r="J106" s="8"/>
      <x:c r="K106" s="9">
        <x:f>SUM(K102:K105)</x:f>
        <x:v>33655000</x:v>
      </x:c>
      <x:c r="L106" s="9">
        <x:f>SUM(L102:L105)</x:f>
        <x:v>0</x:v>
      </x:c>
      <x:c r="M106" s="10">
        <x:f>SUM(M102:M105)</x:f>
        <x:v>33655000</x:v>
      </x:c>
      <x:c r="N106" s="11"/>
    </x:row>
    <x:row r="107" spans="1:14" ht="20.100000000000001" customHeight="1">
      <x:c r="A107" s="301" t="s">
        <x:v>187</x:v>
      </x:c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 t="s">
        <x:v>1124</x:v>
      </x:c>
      <x:c r="J107" s="3" t="s">
        <x:v>1126</x:v>
      </x:c>
      <x:c r="K107" s="4">
        <x:v>300000</x:v>
      </x:c>
      <x:c r="L107" s="4">
        <x:f>+K107*0.1</x:f>
        <x:v>30000</x:v>
      </x:c>
      <x:c r="M107" s="5">
        <x:f>+K107+L107</x:f>
        <x:v>330000</x:v>
      </x:c>
      <x:c r="N107" s="6"/>
    </x:row>
    <x:row r="108" spans="1:14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 t="s">
        <x:v>1089</x:v>
      </x:c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 t="s">
        <x:v>708</x:v>
      </x:c>
      <x:c r="J109" s="3" t="s">
        <x:v>948</x:v>
      </x:c>
      <x:c r="K109" s="4">
        <x:v>300000</x:v>
      </x:c>
      <x:c r="L109" s="4">
        <x:f>+K109*0.1</x:f>
        <x:v>30000</x:v>
      </x:c>
      <x:c r="M109" s="5">
        <x:f>+K109+L109</x:f>
        <x:v>330000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 t="s">
        <x:v>155</x:v>
      </x:c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600000</x:v>
      </x:c>
      <x:c r="L111" s="9">
        <x:f>SUM(L107:L110)</x:f>
        <x:v>60000</x:v>
      </x:c>
      <x:c r="M111" s="10">
        <x:f>SUM(M107:M110)</x:f>
        <x:v>660000</x:v>
      </x:c>
      <x:c r="N111" s="11"/>
    </x:row>
    <x:row r="112" spans="1:14" ht="20.100000000000001" customHeight="1">
      <x:c r="A112" s="301" t="s">
        <x:v>149</x:v>
      </x:c>
      <x:c r="B112" s="3" t="s">
        <x:v>221</x:v>
      </x:c>
      <x:c r="C112" s="3" t="s">
        <x:v>1053</x:v>
      </x:c>
      <x:c r="D112" s="4">
        <x:v>500000</x:v>
      </x:c>
      <x:c r="E112" s="4">
        <x:f>+D112*0.1</x:f>
        <x:v>50000</x:v>
      </x:c>
      <x:c r="F112" s="5">
        <x:f>+D112+E112</x:f>
        <x:v>550000</x:v>
      </x:c>
      <x:c r="G112" s="6"/>
      <x:c r="H112" s="301" t="s">
        <x:v>149</x:v>
      </x:c>
      <x:c r="I112" s="3" t="s">
        <x:v>158</x:v>
      </x:c>
      <x:c r="J112" s="3" t="s">
        <x:v>837</x:v>
      </x:c>
      <x:c r="K112" s="4">
        <x:v>643366</x:v>
      </x:c>
      <x:c r="L112" s="4"/>
      <x:c r="M112" s="5">
        <x:f>+K112+L112</x:f>
        <x:v>643366</x:v>
      </x:c>
      <x:c r="N112" s="6"/>
    </x:row>
    <x:row r="113" spans="1:14" ht="20.100000000000001" customHeight="1">
      <x:c r="A113" s="299"/>
      <x:c r="B113" s="3" t="s">
        <x:v>221</x:v>
      </x:c>
      <x:c r="C113" s="3" t="s">
        <x:v>1066</x:v>
      </x:c>
      <x:c r="D113" s="4">
        <x:v>48000</x:v>
      </x:c>
      <x:c r="E113" s="4"/>
      <x:c r="F113" s="5">
        <x:f>+D113+E113</x:f>
        <x:v>48000</x:v>
      </x:c>
      <x:c r="G113" s="6"/>
      <x:c r="H113" s="299"/>
      <x:c r="I113" s="3" t="s">
        <x:v>883</x:v>
      </x:c>
      <x:c r="J113" s="3" t="s">
        <x:v>1752</x:v>
      </x:c>
      <x:c r="K113" s="4">
        <x:v>100000</x:v>
      </x:c>
      <x:c r="L113" s="4">
        <x:f>+K113*0.1</x:f>
        <x:v>10000</x:v>
      </x:c>
      <x:c r="M113" s="5">
        <x:f>+K113+L113</x:f>
        <x:v>110000</x:v>
      </x:c>
      <x:c r="N113" s="6"/>
    </x:row>
    <x:row r="114" spans="1:14" ht="20.100000000000001" customHeight="1">
      <x:c r="A114" s="299"/>
      <x:c r="B114" s="3" t="s">
        <x:v>1061</x:v>
      </x:c>
      <x:c r="C114" s="3" t="s">
        <x:v>167</x:v>
      </x:c>
      <x:c r="D114" s="4">
        <x:v>53000</x:v>
      </x:c>
      <x:c r="E114" s="4">
        <x:f>+D114*0.1</x:f>
        <x:v>5300</x:v>
      </x:c>
      <x:c r="F114" s="5">
        <x:f>+D114+E114</x:f>
        <x:v>58300</x:v>
      </x:c>
      <x:c r="G114" s="6"/>
      <x:c r="H114" s="299"/>
      <x:c r="I114" s="3" t="s">
        <x:v>947</x:v>
      </x:c>
      <x:c r="J114" s="3" t="s">
        <x:v>914</x:v>
      </x:c>
      <x:c r="K114" s="4">
        <x:v>80000</x:v>
      </x:c>
      <x:c r="L114" s="4">
        <x:f>+K114*0.1</x:f>
        <x:v>8000</x:v>
      </x:c>
      <x:c r="M114" s="5">
        <x:f>+K114+L114</x:f>
        <x:v>88000</x:v>
      </x:c>
      <x:c r="N114" s="6"/>
    </x:row>
    <x:row r="115" spans="1:14" ht="20.100000000000001" customHeight="1">
      <x:c r="A115" s="299"/>
      <x:c r="B115" s="3" t="s">
        <x:v>1047</x:v>
      </x:c>
      <x:c r="C115" s="3" t="s">
        <x:v>962</x:v>
      </x:c>
      <x:c r="D115" s="4">
        <x:v>798000</x:v>
      </x:c>
      <x:c r="E115" s="4">
        <x:f>+D115*0.1</x:f>
        <x:v>79800</x:v>
      </x:c>
      <x:c r="F115" s="5">
        <x:f t="shared" ref="F115:F121" si="17">+D115+E115</x:f>
        <x:v>877800</x:v>
      </x:c>
      <x:c r="G115" s="6"/>
      <x:c r="H115" s="299"/>
      <x:c r="I115" s="3" t="s">
        <x:v>633</x:v>
      </x:c>
      <x:c r="J115" s="3" t="s">
        <x:v>962</x:v>
      </x:c>
      <x:c r="K115" s="4">
        <x:v>1044000</x:v>
      </x:c>
      <x:c r="L115" s="4">
        <x:f>+K115*0.1</x:f>
        <x:v>104400</x:v>
      </x:c>
      <x:c r="M115" s="5">
        <x:f>+K115+L115</x:f>
        <x:v>1148400</x:v>
      </x:c>
      <x:c r="N115" s="6"/>
    </x:row>
    <x:row r="116" spans="1:14" ht="20.100000000000001" customHeight="1">
      <x:c r="A116" s="299"/>
      <x:c r="B116" s="3" t="s">
        <x:v>203</x:v>
      </x:c>
      <x:c r="C116" s="3" t="s">
        <x:v>837</x:v>
      </x:c>
      <x:c r="D116" s="4">
        <x:v>1267820</x:v>
      </x:c>
      <x:c r="E116" s="4"/>
      <x:c r="F116" s="5">
        <x:f t="shared" si="17"/>
        <x:v>1267820</x:v>
      </x:c>
      <x:c r="G116" s="6"/>
      <x:c r="H116" s="299"/>
      <x:c r="I116" s="3" t="s">
        <x:v>1049</x:v>
      </x:c>
      <x:c r="J116" s="3" t="s">
        <x:v>167</x:v>
      </x:c>
      <x:c r="K116" s="4">
        <x:v>100000</x:v>
      </x:c>
      <x:c r="L116" s="4">
        <x:f>+K116*0.1</x:f>
        <x:v>10000</x:v>
      </x:c>
      <x:c r="M116" s="5">
        <x:f>+K116+L116</x:f>
        <x:v>110000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100000</x:v>
      </x:c>
      <x:c r="E117" s="4">
        <x:f>+D117*0.1</x:f>
        <x:v>10000</x:v>
      </x:c>
      <x:c r="F117" s="5">
        <x:f t="shared" si="17"/>
        <x:v>110000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 t="shared" si="17"/>
        <x:v>0</x:v>
      </x:c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>
        <x:f t="shared" si="17"/>
        <x:v>0</x:v>
      </x:c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>
        <x:f t="shared" si="17"/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>
        <x:f t="shared" si="17"/>
        <x:v>0</x:v>
      </x:c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 t="s">
        <x:v>155</x:v>
      </x:c>
      <x:c r="B122" s="8"/>
      <x:c r="C122" s="8"/>
      <x:c r="D122" s="9">
        <x:f>SUM(D112:D121)</x:f>
        <x:v>2766820</x:v>
      </x:c>
      <x:c r="E122" s="9">
        <x:f>SUM(E112:E121)</x:f>
        <x:v>145100</x:v>
      </x:c>
      <x:c r="F122" s="10">
        <x:f>SUM(F112:F121)</x:f>
        <x:v>2911920</x:v>
      </x:c>
      <x:c r="G122" s="11"/>
      <x:c r="H122" s="7"/>
      <x:c r="I122" s="8"/>
      <x:c r="J122" s="8"/>
      <x:c r="K122" s="9">
        <x:f>SUM(K112:K121)</x:f>
        <x:v>1967366</x:v>
      </x:c>
      <x:c r="L122" s="9">
        <x:f>SUM(L112:L121)</x:f>
        <x:v>132400</x:v>
      </x:c>
      <x:c r="M122" s="10">
        <x:f>SUM(M112:M121)</x:f>
        <x:v>2099766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33304500</x:v>
      </x:c>
      <x:c r="E123" s="14">
        <x:f>+E101+E106+E111+E122</x:f>
        <x:v>703148</x:v>
      </x:c>
      <x:c r="F123" s="15">
        <x:f>+F101+F106+F111+F122</x:f>
        <x:v>34007648</x:v>
      </x:c>
      <x:c r="G123" s="16"/>
      <x:c r="H123" s="12"/>
      <x:c r="I123" s="13"/>
      <x:c r="J123" s="13"/>
      <x:c r="K123" s="14">
        <x:f>+K101+K106+K111+K122</x:f>
        <x:v>58312946</x:v>
      </x:c>
      <x:c r="L123" s="14">
        <x:f>+L101+L106+L111+L122</x:f>
        <x:v>2401458</x:v>
      </x:c>
      <x:c r="M123" s="15">
        <x:f>+M101+M106+M111+M122</x:f>
        <x:v>60714404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-3620075</x:v>
      </x:c>
      <x:c r="E124" s="25">
        <x:f>+E85-E123</x:f>
        <x:v>-387573</x:v>
      </x:c>
      <x:c r="F124" s="26">
        <x:f>+F85-F123</x:f>
        <x:v>-4007648</x:v>
      </x:c>
      <x:c r="G124" s="27"/>
      <x:c r="H124" s="23"/>
      <x:c r="I124" s="24"/>
      <x:c r="J124" s="24"/>
      <x:c r="K124" s="25">
        <x:f>+K85-K123</x:f>
        <x:v>6122982</x:v>
      </x:c>
      <x:c r="L124" s="25">
        <x:f>+L85-L123</x:f>
        <x:v>-1837386</x:v>
      </x:c>
      <x:c r="M124" s="26">
        <x:f>+M85-M123</x:f>
        <x:v>4285596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01" t="s">
        <x:v>144</x:v>
      </x:c>
      <x:c r="C126" s="101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01" t="s">
        <x:v>144</x:v>
      </x:c>
      <x:c r="J126" s="101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00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8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8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19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8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19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8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19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8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19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8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9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0">+INT(D133*0.1)</x:f>
        <x:v>0</x:v>
      </x:c>
      <x:c r="F133" s="5">
        <x:f t="shared" si="18"/>
        <x:v>0</x:v>
      </x:c>
      <x:c r="G133" s="6"/>
      <x:c r="H133" s="299"/>
      <x:c r="I133" s="3"/>
      <x:c r="J133" s="3"/>
      <x:c r="K133" s="4"/>
      <x:c r="L133" s="4">
        <x:f t="shared" ref="L133:L142" si="21">+K133*0.1</x:f>
        <x:v>0</x:v>
      </x:c>
      <x:c r="M133" s="5">
        <x:f t="shared" si="19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0"/>
        <x:v>0</x:v>
      </x:c>
      <x:c r="F134" s="5">
        <x:f t="shared" si="18"/>
        <x:v>0</x:v>
      </x:c>
      <x:c r="G134" s="6"/>
      <x:c r="H134" s="299"/>
      <x:c r="I134" s="3"/>
      <x:c r="J134" s="3"/>
      <x:c r="K134" s="4"/>
      <x:c r="L134" s="4">
        <x:f t="shared" si="21"/>
        <x:v>0</x:v>
      </x:c>
      <x:c r="M134" s="5">
        <x:f t="shared" si="19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0"/>
        <x:v>0</x:v>
      </x:c>
      <x:c r="F135" s="5">
        <x:f t="shared" si="18"/>
        <x:v>0</x:v>
      </x:c>
      <x:c r="G135" s="6"/>
      <x:c r="H135" s="299"/>
      <x:c r="I135" s="3"/>
      <x:c r="J135" s="3"/>
      <x:c r="K135" s="4"/>
      <x:c r="L135" s="4">
        <x:f t="shared" si="21"/>
        <x:v>0</x:v>
      </x:c>
      <x:c r="M135" s="5">
        <x:f t="shared" si="19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0"/>
        <x:v>0</x:v>
      </x:c>
      <x:c r="F136" s="5">
        <x:f t="shared" si="18"/>
        <x:v>0</x:v>
      </x:c>
      <x:c r="G136" s="6"/>
      <x:c r="H136" s="299"/>
      <x:c r="I136" s="3"/>
      <x:c r="J136" s="3"/>
      <x:c r="K136" s="4"/>
      <x:c r="L136" s="4">
        <x:f t="shared" si="21"/>
        <x:v>0</x:v>
      </x:c>
      <x:c r="M136" s="5">
        <x:f t="shared" si="19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0"/>
        <x:v>0</x:v>
      </x:c>
      <x:c r="F137" s="5">
        <x:f t="shared" si="18"/>
        <x:v>0</x:v>
      </x:c>
      <x:c r="G137" s="6"/>
      <x:c r="H137" s="299"/>
      <x:c r="I137" s="3"/>
      <x:c r="J137" s="3"/>
      <x:c r="K137" s="4"/>
      <x:c r="L137" s="4">
        <x:f t="shared" si="21"/>
        <x:v>0</x:v>
      </x:c>
      <x:c r="M137" s="5">
        <x:f t="shared" si="19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0"/>
        <x:v>0</x:v>
      </x:c>
      <x:c r="F138" s="5">
        <x:f t="shared" si="18"/>
        <x:v>0</x:v>
      </x:c>
      <x:c r="G138" s="6"/>
      <x:c r="H138" s="299"/>
      <x:c r="I138" s="3"/>
      <x:c r="J138" s="3"/>
      <x:c r="K138" s="4"/>
      <x:c r="L138" s="4">
        <x:f t="shared" si="21"/>
        <x:v>0</x:v>
      </x:c>
      <x:c r="M138" s="5">
        <x:f t="shared" si="19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0"/>
        <x:v>0</x:v>
      </x:c>
      <x:c r="F139" s="5">
        <x:f t="shared" si="18"/>
        <x:v>0</x:v>
      </x:c>
      <x:c r="G139" s="6"/>
      <x:c r="H139" s="299"/>
      <x:c r="I139" s="3"/>
      <x:c r="J139" s="3"/>
      <x:c r="K139" s="4"/>
      <x:c r="L139" s="4">
        <x:f t="shared" si="21"/>
        <x:v>0</x:v>
      </x:c>
      <x:c r="M139" s="5">
        <x:f t="shared" si="19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0"/>
        <x:v>0</x:v>
      </x:c>
      <x:c r="F140" s="5">
        <x:f t="shared" si="18"/>
        <x:v>0</x:v>
      </x:c>
      <x:c r="G140" s="6"/>
      <x:c r="H140" s="299"/>
      <x:c r="I140" s="3"/>
      <x:c r="J140" s="3"/>
      <x:c r="K140" s="4"/>
      <x:c r="L140" s="4">
        <x:f t="shared" si="21"/>
        <x:v>0</x:v>
      </x:c>
      <x:c r="M140" s="5">
        <x:f t="shared" si="19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0"/>
        <x:v>0</x:v>
      </x:c>
      <x:c r="F141" s="5">
        <x:f t="shared" si="18"/>
        <x:v>0</x:v>
      </x:c>
      <x:c r="G141" s="6"/>
      <x:c r="H141" s="299"/>
      <x:c r="I141" s="3"/>
      <x:c r="J141" s="3"/>
      <x:c r="K141" s="4"/>
      <x:c r="L141" s="4">
        <x:f t="shared" si="21"/>
        <x:v>0</x:v>
      </x:c>
      <x:c r="M141" s="5">
        <x:f t="shared" si="19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1"/>
        <x:v>0</x:v>
      </x:c>
      <x:c r="M142" s="5">
        <x:f t="shared" si="19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2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2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2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3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2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3"/>
        <x:v>0</x:v>
      </x:c>
      <x:c r="G158" s="6"/>
      <x:c r="H158" s="299"/>
      <x:c r="I158" s="3"/>
      <x:c r="J158" s="3"/>
      <x:c r="K158" s="4"/>
      <x:c r="L158" s="4">
        <x:f t="shared" ref="L158:L163" si="24">+K158*0.1</x:f>
        <x:v>0</x:v>
      </x:c>
      <x:c r="M158" s="5">
        <x:f t="shared" si="22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3"/>
        <x:v>0</x:v>
      </x:c>
      <x:c r="G159" s="6"/>
      <x:c r="H159" s="299"/>
      <x:c r="I159" s="3"/>
      <x:c r="J159" s="3"/>
      <x:c r="K159" s="4"/>
      <x:c r="L159" s="4">
        <x:f t="shared" si="24"/>
        <x:v>0</x:v>
      </x:c>
      <x:c r="M159" s="5">
        <x:f t="shared" si="22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3"/>
        <x:v>0</x:v>
      </x:c>
      <x:c r="G160" s="6"/>
      <x:c r="H160" s="299"/>
      <x:c r="I160" s="3"/>
      <x:c r="J160" s="3"/>
      <x:c r="K160" s="4"/>
      <x:c r="L160" s="4">
        <x:f t="shared" si="24"/>
        <x:v>0</x:v>
      </x:c>
      <x:c r="M160" s="5">
        <x:f t="shared" si="22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3"/>
        <x:v>0</x:v>
      </x:c>
      <x:c r="G161" s="6"/>
      <x:c r="H161" s="299"/>
      <x:c r="I161" s="3"/>
      <x:c r="J161" s="3"/>
      <x:c r="K161" s="4"/>
      <x:c r="L161" s="4">
        <x:f t="shared" si="24"/>
        <x:v>0</x:v>
      </x:c>
      <x:c r="M161" s="5">
        <x:f t="shared" si="22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3"/>
        <x:v>0</x:v>
      </x:c>
      <x:c r="G162" s="6"/>
      <x:c r="H162" s="299"/>
      <x:c r="I162" s="3"/>
      <x:c r="J162" s="3"/>
      <x:c r="K162" s="4"/>
      <x:c r="L162" s="4">
        <x:f t="shared" si="24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3"/>
        <x:v>0</x:v>
      </x:c>
      <x:c r="G163" s="6"/>
      <x:c r="H163" s="300"/>
      <x:c r="I163" s="3"/>
      <x:c r="J163" s="3"/>
      <x:c r="K163" s="4"/>
      <x:c r="L163" s="4">
        <x:f t="shared" si="24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82400551</x:v>
      </x:c>
      <x:c r="E169" s="2">
        <x:f>+E17+E59+E101+E143</x:f>
        <x:v>8240055.0999999996</x:v>
      </x:c>
      <x:c r="F169" s="2">
        <x:f>+F17+F59+F101+F143</x:f>
        <x:v>90640606.099999994</x:v>
      </x:c>
      <x:c r="K169" s="2">
        <x:f>+K17+K59+K101+K143</x:f>
        <x:v>56889480</x:v>
      </x:c>
      <x:c r="L169" s="2">
        <x:f>+L17+L59+L101+L143</x:f>
        <x:v>5688948</x:v>
      </x:c>
      <x:c r="M169" s="2">
        <x:f>+M17+M59+M101+M143</x:f>
        <x:v>62578428</x:v>
      </x:c>
    </x:row>
    <x:row r="170" spans="1:13">
      <x:c r="A170" s="1" t="s">
        <x:v>153</x:v>
      </x:c>
      <x:c r="D170" s="2">
        <x:f>+D22+D64+D106+D148</x:f>
        <x:v>101702200</x:v>
      </x:c>
      <x:c r="E170" s="2">
        <x:f>+E22+E64+E106+E148</x:f>
        <x:v>0</x:v>
      </x:c>
      <x:c r="F170" s="2">
        <x:f>+F22+F64+F106+F148</x:f>
        <x:v>101702200</x:v>
      </x:c>
      <x:c r="K170" s="2">
        <x:f>+K22+K64+K106+K148</x:f>
        <x:v>63655800</x:v>
      </x:c>
      <x:c r="L170" s="2">
        <x:f>+L22+L64+L106+L148</x:f>
        <x:v>294080</x:v>
      </x:c>
      <x:c r="M170" s="2">
        <x:f>+M22+M64+M106+M148</x:f>
        <x:v>63949880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1920000</x:v>
      </x:c>
      <x:c r="E171" s="2">
        <x:f>+E27+E69+E111+E153</x:f>
        <x:v>192000</x:v>
      </x:c>
      <x:c r="F171" s="2">
        <x:f>+F27+F69+F111+F153</x:f>
        <x:v>2112000</x:v>
      </x:c>
      <x:c r="H171" s="1"/>
      <x:c r="I171" s="1"/>
      <x:c r="J171" s="1"/>
      <x:c r="K171" s="2">
        <x:f>+K27+K69+K111+K153</x:f>
        <x:v>600000</x:v>
      </x:c>
      <x:c r="L171" s="2">
        <x:f>+L27+L69+L111+L153</x:f>
        <x:v>60000</x:v>
      </x:c>
      <x:c r="M171" s="2">
        <x:f>+M27+M69+M111+M153</x:f>
        <x:v>660000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10998976</x:v>
      </x:c>
      <x:c r="E172" s="2">
        <x:f>+E38+E80+E122+E164</x:f>
        <x:v>668053.59999999998</x:v>
      </x:c>
      <x:c r="F172" s="2">
        <x:f>+F38+F80+F122+F164</x:f>
        <x:v>11667029.6</x:v>
      </x:c>
      <x:c r="H172" s="1"/>
      <x:c r="I172" s="1"/>
      <x:c r="J172" s="1"/>
      <x:c r="K172" s="2">
        <x:f>+K38+K80+K122+K164</x:f>
        <x:v>4308930</x:v>
      </x:c>
      <x:c r="L172" s="2">
        <x:f>+L38+L80+L122+L164</x:f>
        <x:v>260546.10000000001</x:v>
      </x:c>
      <x:c r="M172" s="2">
        <x:f>+M38+M80+M122+M164</x:f>
        <x:v>4569476.0999999996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197021727</x:v>
      </x:c>
      <x:c r="E173" s="2">
        <x:f>SUM(E169:E172)</x:f>
        <x:v>9100108.6999999993</x:v>
      </x:c>
      <x:c r="F173" s="2">
        <x:f>SUM(F169:F172)</x:f>
        <x:v>206121835.69999999</x:v>
      </x:c>
      <x:c r="H173" s="1"/>
      <x:c r="I173" s="1"/>
      <x:c r="J173" s="1"/>
      <x:c r="K173" s="2">
        <x:f>SUM(K169:K172)</x:f>
        <x:v>125454210</x:v>
      </x:c>
      <x:c r="L173" s="2">
        <x:f>SUM(L169:L172)</x:f>
        <x:v>6303574.0999999996</x:v>
      </x:c>
      <x:c r="M173" s="2">
        <x:f>SUM(M169:M172)</x:f>
        <x:v>131757784.09999999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139290031</x:v>
      </x:c>
      <x:c r="E176" s="2">
        <x:f>+E169+L169</x:f>
        <x:v>13929003.1</x:v>
      </x:c>
      <x:c r="F176" s="2">
        <x:f>+F169+M169</x:f>
        <x:v>153219034.09999999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5">+D170+K170</x:f>
        <x:v>165358000</x:v>
      </x:c>
      <x:c r="E177" s="2">
        <x:f t="shared" si="25"/>
        <x:v>294080</x:v>
      </x:c>
      <x:c r="F177" s="2">
        <x:f t="shared" si="25"/>
        <x:v>165652080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5"/>
        <x:v>2520000</x:v>
      </x:c>
      <x:c r="E178" s="2">
        <x:f t="shared" si="25"/>
        <x:v>252000</x:v>
      </x:c>
      <x:c r="F178" s="2">
        <x:f t="shared" si="25"/>
        <x:v>2772000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5"/>
        <x:v>15307906</x:v>
      </x:c>
      <x:c r="E179" s="2">
        <x:f t="shared" si="25"/>
        <x:v>928599.69999999995</x:v>
      </x:c>
      <x:c r="F179" s="2">
        <x:f t="shared" si="25"/>
        <x:v>16236505.699999999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322475937</x:v>
      </x:c>
      <x:c r="E180" s="2">
        <x:f>SUM(E176:E179)</x:f>
        <x:v>15403682.799999999</x:v>
      </x:c>
      <x:c r="F180" s="2">
        <x:f>SUM(F176:F179)</x:f>
        <x:v>337879619.80000001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353924313</x:v>
      </x:c>
      <x:c r="E181" s="2">
        <x:f>E4+E43+E85+L4+L43+L85</x:f>
        <x:v>4100687</x:v>
      </x:c>
      <x:c r="F181" s="2">
        <x:f>F4+F43+F85+M4+M43+M85</x:f>
        <x:v>358025000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31448376</x:v>
      </x:c>
      <x:c r="E182" s="2">
        <x:f>+E181-E180</x:f>
        <x:v>-11302995.799999999</x:v>
      </x:c>
      <x:c r="F182" s="2">
        <x:f>+F181-F180</x:f>
        <x:v>20145380.199999988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R23"/>
  <x:sheetViews>
    <x:sheetView view="pageBreakPreview" topLeftCell="A1" zoomScaleNormal="100" zoomScaleSheetLayoutView="100" workbookViewId="0">
      <x:selection activeCell="F16" activeCellId="0" sqref="F16:F16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1755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102"/>
      <x:c r="C2" s="102"/>
      <x:c r="D2" s="102"/>
      <x:c r="E2" s="102"/>
      <x:c r="F2" s="102"/>
      <x:c r="G2" s="102"/>
      <x:c r="H2" s="102"/>
      <x:c r="I2" s="102"/>
      <x:c r="J2" s="102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395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104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'20년04월(세부내역)'!D4</x:f>
        <x:v>130000000</x:v>
      </x:c>
      <x:c r="E5" s="67">
        <x:f>'20년04월(세부내역)'!D17</x:f>
        <x:v>77310292</x:v>
      </x:c>
      <x:c r="F5" s="67">
        <x:f>'20년04월(세부내역)'!D22</x:f>
        <x:v>41880000</x:v>
      </x:c>
      <x:c r="G5" s="67">
        <x:f>'20년04월(세부내역)'!D27</x:f>
        <x:v>4690000</x:v>
      </x:c>
      <x:c r="H5" s="67">
        <x:f>'20년04월(세부내역)'!D38</x:f>
        <x:v>4862496</x:v>
      </x:c>
      <x:c r="I5" s="75">
        <x:f t="shared" ref="I5:I10" si="0">+SUM(E5:H5)</x:f>
        <x:v>128742788</x:v>
      </x:c>
      <x:c r="J5" s="9">
        <x:f t="shared" ref="J5:J10" si="1">D5-I5</x:f>
        <x:v>1257212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'20년04월(세부내역)'!K4</x:f>
        <x:v>64454000</x:v>
      </x:c>
      <x:c r="E6" s="59">
        <x:f>+'20년04월(세부내역)'!K17</x:f>
        <x:v>6304200</x:v>
      </x:c>
      <x:c r="F6" s="59">
        <x:f>'20년04월(세부내역)'!K22</x:f>
        <x:v>32016000</x:v>
      </x:c>
      <x:c r="G6" s="59">
        <x:f>'20년04월(세부내역)'!K27</x:f>
        <x:v>0</x:v>
      </x:c>
      <x:c r="H6" s="59">
        <x:f>'20년04월(세부내역)'!K38</x:f>
        <x:v>1988087</x:v>
      </x:c>
      <x:c r="I6" s="75">
        <x:f t="shared" si="0"/>
        <x:v>40308287</x:v>
      </x:c>
      <x:c r="J6" s="9">
        <x:f t="shared" si="1"/>
        <x:v>24145713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'20년04월(세부내역)'!D43</x:f>
        <x:v>77285366</x:v>
      </x:c>
      <x:c r="E7" s="59">
        <x:f>+'20년04월(세부내역)'!D59</x:f>
        <x:v>21772208</x:v>
      </x:c>
      <x:c r="F7" s="59">
        <x:f>'20년04월(세부내역)'!D64</x:f>
        <x:v>38625000</x:v>
      </x:c>
      <x:c r="G7" s="59">
        <x:f>'20년04월(세부내역)'!D69</x:f>
        <x:v>300000</x:v>
      </x:c>
      <x:c r="H7" s="59">
        <x:f>'20년04월(세부내역)'!D80</x:f>
        <x:v>3217570</x:v>
      </x:c>
      <x:c r="I7" s="75">
        <x:f t="shared" si="0"/>
        <x:v>63914778</x:v>
      </x:c>
      <x:c r="J7" s="80">
        <x:f t="shared" si="1"/>
        <x:v>13370588</x:v>
      </x:c>
      <x:c r="K7" s="59"/>
    </x:row>
    <x:row r="8" spans="1:11" ht="30" customHeight="1">
      <x:c r="A8" s="63">
        <x:v>4</x:v>
      </x:c>
      <x:c r="B8" s="63" t="s">
        <x:v>1021</x:v>
      </x:c>
      <x:c r="C8" s="58" t="s">
        <x:v>1065</x:v>
      </x:c>
      <x:c r="D8" s="74">
        <x:f>'20년04월(세부내역)'!K43</x:f>
        <x:v>59368850</x:v>
      </x:c>
      <x:c r="E8" s="59">
        <x:f>'20년04월(세부내역)'!K59</x:f>
        <x:v>9857096</x:v>
      </x:c>
      <x:c r="F8" s="59">
        <x:f>'20년04월(세부내역)'!K64</x:f>
        <x:v>30870000</x:v>
      </x:c>
      <x:c r="G8" s="59">
        <x:f>'20년04월(세부내역)'!K69</x:f>
        <x:v>460000</x:v>
      </x:c>
      <x:c r="H8" s="59">
        <x:f>'20년04월(세부내역)'!K80</x:f>
        <x:v>3222230</x:v>
      </x:c>
      <x:c r="I8" s="75">
        <x:f t="shared" si="0"/>
        <x:v>44409326</x:v>
      </x:c>
      <x:c r="J8" s="9">
        <x:f t="shared" si="1"/>
        <x:v>14959524</x:v>
      </x:c>
      <x:c r="K8" s="59"/>
    </x:row>
    <x:row r="9" spans="1:11" ht="30" customHeight="1">
      <x:c r="A9" s="63">
        <x:v>5</x:v>
      </x:c>
      <x:c r="B9" s="63" t="s">
        <x:v>1025</x:v>
      </x:c>
      <x:c r="C9" s="58" t="s">
        <x:v>1065</x:v>
      </x:c>
      <x:c r="D9" s="74">
        <x:f>'20년04월(세부내역)'!D85</x:f>
        <x:v>75340470</x:v>
      </x:c>
      <x:c r="E9" s="59">
        <x:f>'20년04월(세부내역)'!D101</x:f>
        <x:v>15558710</x:v>
      </x:c>
      <x:c r="F9" s="59">
        <x:f>'20년04월(세부내역)'!D106</x:f>
        <x:v>35105000</x:v>
      </x:c>
      <x:c r="G9" s="59">
        <x:f>'20년04월(세부내역)'!D111</x:f>
        <x:v>300000</x:v>
      </x:c>
      <x:c r="H9" s="59">
        <x:f>'20년04월(세부내역)'!D122</x:f>
        <x:v>2080370</x:v>
      </x:c>
      <x:c r="I9" s="75">
        <x:f t="shared" si="0"/>
        <x:v>53044080</x:v>
      </x:c>
      <x:c r="J9" s="9">
        <x:f t="shared" si="1"/>
        <x:v>22296390</x:v>
      </x:c>
      <x:c r="K9" s="59"/>
    </x:row>
    <x:row r="10" spans="1:11" ht="30" customHeight="1">
      <x:c r="A10" s="63">
        <x:v>6</x:v>
      </x:c>
      <x:c r="B10" s="63" t="s">
        <x:v>709</x:v>
      </x:c>
      <x:c r="C10" s="58" t="s">
        <x:v>156</x:v>
      </x:c>
      <x:c r="D10" s="74">
        <x:f>'20년04월(세부내역)'!K85</x:f>
        <x:v>727273</x:v>
      </x:c>
      <x:c r="E10" s="59">
        <x:f>'20년04월(세부내역)'!K101</x:f>
        <x:v>235384</x:v>
      </x:c>
      <x:c r="F10" s="59">
        <x:f>'20년04월(세부내역)'!K106</x:f>
        <x:v>0</x:v>
      </x:c>
      <x:c r="G10" s="59">
        <x:f>'20년04월(세부내역)'!K111</x:f>
        <x:v>0</x:v>
      </x:c>
      <x:c r="H10" s="59">
        <x:f>'20년04월(세부내역)'!K122</x:f>
        <x:v>0</x:v>
      </x:c>
      <x:c r="I10" s="75">
        <x:f t="shared" si="0"/>
        <x:v>235384</x:v>
      </x:c>
      <x:c r="J10" s="9">
        <x:f t="shared" si="1"/>
        <x:v>491889</x:v>
      </x:c>
      <x:c r="K10" s="59"/>
    </x:row>
    <x:row r="11" spans="1:11" ht="30" customHeight="1">
      <x:c r="A11" s="64"/>
      <x:c r="B11" s="64" t="s">
        <x:v>1690</x:v>
      </x:c>
      <x:c r="C11" s="65"/>
      <x:c r="D11" s="68">
        <x:f t="shared" ref="D11:J11" si="2">SUM(D5:D9)</x:f>
        <x:v>406448686</x:v>
      </x:c>
      <x:c r="E11" s="66">
        <x:f t="shared" si="2"/>
        <x:v>130802506</x:v>
      </x:c>
      <x:c r="F11" s="66">
        <x:f t="shared" si="2"/>
        <x:v>178496000</x:v>
      </x:c>
      <x:c r="G11" s="66">
        <x:f t="shared" si="2"/>
        <x:v>5750000</x:v>
      </x:c>
      <x:c r="H11" s="66">
        <x:f t="shared" si="2"/>
        <x:v>15370753</x:v>
      </x:c>
      <x:c r="I11" s="69">
        <x:f t="shared" si="2"/>
        <x:v>330419259</x:v>
      </x:c>
      <x:c r="J11" s="66">
        <x:f t="shared" si="2"/>
        <x:v>76029427</x:v>
      </x:c>
      <x:c r="K11" s="66"/>
    </x:row>
    <x:row r="23" spans="4:4">
      <x:c r="D23" s="1">
        <x:v>240000</x:v>
      </x:c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N182"/>
  <x:sheetViews>
    <x:sheetView view="pageBreakPreview" topLeftCell="A94" zoomScaleNormal="100" zoomScaleSheetLayoutView="100" workbookViewId="0">
      <x:selection activeCell="E33" activeCellId="0" sqref="E33:E33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1768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04" t="s">
        <x:v>144</x:v>
      </x:c>
      <x:c r="C3" s="104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04" t="s">
        <x:v>144</x:v>
      </x:c>
      <x:c r="J3" s="104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130000000</x:v>
      </x:c>
      <x:c r="E4" s="39"/>
      <x:c r="F4" s="40">
        <x:f>+D4+E4</x:f>
        <x:v>130000000</x:v>
      </x:c>
      <x:c r="G4" s="42"/>
      <x:c r="H4" s="103" t="s">
        <x:v>151</x:v>
      </x:c>
      <x:c r="I4" s="38" t="s">
        <x:v>1679</x:v>
      </x:c>
      <x:c r="J4" s="38" t="s">
        <x:v>1030</x:v>
      </x:c>
      <x:c r="K4" s="39">
        <x:v>64454000</x:v>
      </x:c>
      <x:c r="L4" s="39">
        <x:v>146000</x:v>
      </x:c>
      <x:c r="M4" s="40">
        <x:f>+K4+L4</x:f>
        <x:v>64600000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1179</x:v>
      </x:c>
      <x:c r="D5" s="20">
        <x:v>1283402</x:v>
      </x:c>
      <x:c r="E5" s="20">
        <x:f>+D5*0.1</x:f>
        <x:v>128340.20000000001</x:v>
      </x:c>
      <x:c r="F5" s="21">
        <x:f>+D5+E5</x:f>
        <x:v>1411742.2</x:v>
      </x:c>
      <x:c r="G5" s="22"/>
      <x:c r="H5" s="298" t="s">
        <x:v>148</x:v>
      </x:c>
      <x:c r="I5" s="19" t="s">
        <x:v>838</x:v>
      </x:c>
      <x:c r="J5" s="19" t="s">
        <x:v>715</x:v>
      </x:c>
      <x:c r="K5" s="20">
        <x:v>753800</x:v>
      </x:c>
      <x:c r="L5" s="20">
        <x:f>K5*0.1</x:f>
        <x:v>75380</x:v>
      </x:c>
      <x:c r="M5" s="21">
        <x:f t="shared" ref="M5:M21" si="0">+K5+L5</x:f>
        <x:v>829180</x:v>
      </x:c>
      <x:c r="N5" s="22"/>
    </x:row>
    <x:row r="6" spans="1:14" ht="20.100000000000001" customHeight="1">
      <x:c r="A6" s="299"/>
      <x:c r="B6" s="3" t="s">
        <x:v>867</x:v>
      </x:c>
      <x:c r="C6" s="3" t="s">
        <x:v>375</x:v>
      </x:c>
      <x:c r="D6" s="4">
        <x:v>8752400</x:v>
      </x:c>
      <x:c r="E6" s="4">
        <x:f t="shared" ref="E6:E16" si="1">+D6*0.1</x:f>
        <x:v>875240</x:v>
      </x:c>
      <x:c r="F6" s="5">
        <x:f>+D6+E6</x:f>
        <x:v>9627640</x:v>
      </x:c>
      <x:c r="G6" s="6"/>
      <x:c r="H6" s="299"/>
      <x:c r="I6" s="3" t="s">
        <x:v>867</x:v>
      </x:c>
      <x:c r="J6" s="3" t="s">
        <x:v>369</x:v>
      </x:c>
      <x:c r="K6" s="4">
        <x:v>2373300</x:v>
      </x:c>
      <x:c r="L6" s="4">
        <x:f t="shared" ref="L6:L16" si="2">K6*0.1</x:f>
        <x:v>237330</x:v>
      </x:c>
      <x:c r="M6" s="5">
        <x:f t="shared" si="0"/>
        <x:v>2610630</x:v>
      </x:c>
      <x:c r="N6" s="6"/>
    </x:row>
    <x:row r="7" spans="1:14" ht="20.100000000000001" customHeight="1">
      <x:c r="A7" s="299"/>
      <x:c r="B7" s="3" t="s">
        <x:v>1150</x:v>
      </x:c>
      <x:c r="C7" s="3" t="s">
        <x:v>1194</x:v>
      </x:c>
      <x:c r="D7" s="4">
        <x:v>575000</x:v>
      </x:c>
      <x:c r="E7" s="4">
        <x:f t="shared" si="1"/>
        <x:v>57500</x:v>
      </x:c>
      <x:c r="F7" s="5">
        <x:f>+D7+E7</x:f>
        <x:v>632500</x:v>
      </x:c>
      <x:c r="G7" s="6"/>
      <x:c r="H7" s="299"/>
      <x:c r="I7" s="3" t="s">
        <x:v>1119</x:v>
      </x:c>
      <x:c r="J7" s="3" t="s">
        <x:v>717</x:v>
      </x:c>
      <x:c r="K7" s="4">
        <x:v>990000</x:v>
      </x:c>
      <x:c r="L7" s="4">
        <x:f>K7*0.1</x:f>
        <x:v>99000</x:v>
      </x:c>
      <x:c r="M7" s="5">
        <x:f t="shared" si="0"/>
        <x:v>1089000</x:v>
      </x:c>
      <x:c r="N7" s="6"/>
    </x:row>
    <x:row r="8" spans="1:14" ht="20.100000000000001" customHeight="1">
      <x:c r="A8" s="299"/>
      <x:c r="B8" s="3" t="s">
        <x:v>840</x:v>
      </x:c>
      <x:c r="C8" s="3" t="s">
        <x:v>1159</x:v>
      </x:c>
      <x:c r="D8" s="4">
        <x:v>2184450</x:v>
      </x:c>
      <x:c r="E8" s="4">
        <x:f t="shared" si="1"/>
        <x:v>218445</x:v>
      </x:c>
      <x:c r="F8" s="5">
        <x:f t="shared" ref="F8:F16" si="3">+D8+E8</x:f>
        <x:v>2402895</x:v>
      </x:c>
      <x:c r="G8" s="6"/>
      <x:c r="H8" s="299"/>
      <x:c r="I8" s="3" t="s">
        <x:v>976</x:v>
      </x:c>
      <x:c r="J8" s="3" t="s">
        <x:v>706</x:v>
      </x:c>
      <x:c r="K8" s="4">
        <x:v>350000</x:v>
      </x:c>
      <x:c r="L8" s="4">
        <x:f t="shared" si="2"/>
        <x:v>35000</x:v>
      </x:c>
      <x:c r="M8" s="5">
        <x:f t="shared" si="0"/>
        <x:v>385000</x:v>
      </x:c>
      <x:c r="N8" s="6"/>
    </x:row>
    <x:row r="9" spans="1:14" ht="20.100000000000001" customHeight="1">
      <x:c r="A9" s="299"/>
      <x:c r="B9" s="3" t="s">
        <x:v>854</x:v>
      </x:c>
      <x:c r="C9" s="3" t="s">
        <x:v>712</x:v>
      </x:c>
      <x:c r="D9" s="4">
        <x:v>58789500</x:v>
      </x:c>
      <x:c r="E9" s="4">
        <x:f t="shared" si="1"/>
        <x:v>5878950</x:v>
      </x:c>
      <x:c r="F9" s="5">
        <x:f t="shared" si="3"/>
        <x:v>64668450</x:v>
      </x:c>
      <x:c r="G9" s="6"/>
      <x:c r="H9" s="299"/>
      <x:c r="I9" s="3" t="s">
        <x:v>840</x:v>
      </x:c>
      <x:c r="J9" s="3"/>
      <x:c r="K9" s="4"/>
      <x:c r="L9" s="4">
        <x:f t="shared" si="2"/>
        <x:v>0</x:v>
      </x:c>
      <x:c r="M9" s="5">
        <x:f t="shared" si="0"/>
        <x:v>0</x:v>
      </x:c>
      <x:c r="N9" s="6"/>
    </x:row>
    <x:row r="10" spans="1:14" ht="20.100000000000001" customHeight="1">
      <x:c r="A10" s="299"/>
      <x:c r="B10" s="3" t="s">
        <x:v>895</x:v>
      </x:c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967</x:v>
      </x:c>
      <x:c r="J10" s="3" t="s">
        <x:v>1123</x:v>
      </x:c>
      <x:c r="K10" s="4">
        <x:v>710000</x:v>
      </x:c>
      <x:c r="L10" s="4">
        <x:f t="shared" si="2"/>
        <x:v>71000</x:v>
      </x:c>
      <x:c r="M10" s="5">
        <x:f t="shared" si="0"/>
        <x:v>781000</x:v>
      </x:c>
      <x:c r="N10" s="6"/>
    </x:row>
    <x:row r="11" spans="1:14" ht="20.100000000000001" customHeight="1">
      <x:c r="A11" s="299"/>
      <x:c r="B11" s="3" t="s">
        <x:v>864</x:v>
      </x:c>
      <x:c r="C11" s="3" t="s">
        <x:v>392</x:v>
      </x:c>
      <x:c r="D11" s="4">
        <x:v>1857270</x:v>
      </x:c>
      <x:c r="E11" s="4">
        <x:f t="shared" si="1"/>
        <x:v>185727</x:v>
      </x:c>
      <x:c r="F11" s="5">
        <x:f t="shared" si="3"/>
        <x:v>2042997</x:v>
      </x:c>
      <x:c r="G11" s="6"/>
      <x:c r="H11" s="299"/>
      <x:c r="I11" s="3" t="s">
        <x:v>846</x:v>
      </x:c>
      <x:c r="J11" s="3" t="s">
        <x:v>1141</x:v>
      </x:c>
      <x:c r="K11" s="4">
        <x:v>1127100</x:v>
      </x:c>
      <x:c r="L11" s="4">
        <x:f t="shared" si="2"/>
        <x:v>112710</x:v>
      </x:c>
      <x:c r="M11" s="5">
        <x:f t="shared" si="0"/>
        <x:v>1239810</x:v>
      </x:c>
      <x:c r="N11" s="6"/>
    </x:row>
    <x:row r="12" spans="1:14" ht="20.100000000000001" customHeight="1">
      <x:c r="A12" s="299"/>
      <x:c r="B12" s="3" t="s">
        <x:v>846</x:v>
      </x:c>
      <x:c r="C12" s="3" t="s">
        <x:v>716</x:v>
      </x:c>
      <x:c r="D12" s="4">
        <x:v>762670</x:v>
      </x:c>
      <x:c r="E12" s="4">
        <x:f>+D12*0.1</x:f>
        <x:v>76267</x:v>
      </x:c>
      <x:c r="F12" s="5">
        <x:f>+D12+E12</x:f>
        <x:v>838937</x:v>
      </x:c>
      <x:c r="G12" s="6"/>
      <x:c r="H12" s="299"/>
      <x:c r="I12" s="3"/>
      <x:c r="J12" s="3"/>
      <x:c r="K12" s="4"/>
      <x:c r="L12" s="4">
        <x:f t="shared" si="2"/>
        <x:v>0</x:v>
      </x:c>
      <x:c r="M12" s="5">
        <x:f t="shared" si="0"/>
        <x:v>0</x:v>
      </x:c>
      <x:c r="N12" s="6"/>
    </x:row>
    <x:row r="13" spans="1:14" ht="20.100000000000001" customHeight="1">
      <x:c r="A13" s="299"/>
      <x:c r="B13" s="3" t="s">
        <x:v>846</x:v>
      </x:c>
      <x:c r="C13" s="3" t="s">
        <x:v>1132</x:v>
      </x:c>
      <x:c r="D13" s="44">
        <x:v>640000</x:v>
      </x:c>
      <x:c r="E13" s="44">
        <x:f t="shared" si="1"/>
        <x:v>64000</x:v>
      </x:c>
      <x:c r="F13" s="45">
        <x:f t="shared" si="3"/>
        <x:v>704000</x:v>
      </x:c>
      <x:c r="G13" s="6"/>
      <x:c r="H13" s="299"/>
      <x:c r="I13" s="3"/>
      <x:c r="J13" s="3"/>
      <x:c r="K13" s="4"/>
      <x:c r="L13" s="4"/>
      <x:c r="M13" s="5"/>
      <x:c r="N13" s="6"/>
    </x:row>
    <x:row r="14" spans="1:14" ht="20.100000000000001" customHeight="1">
      <x:c r="A14" s="299"/>
      <x:c r="B14" s="3" t="s">
        <x:v>1705</x:v>
      </x:c>
      <x:c r="C14" s="3" t="s">
        <x:v>1157</x:v>
      </x:c>
      <x:c r="D14" s="4">
        <x:v>65600</x:v>
      </x:c>
      <x:c r="E14" s="4">
        <x:f t="shared" si="1"/>
        <x:v>6560</x:v>
      </x:c>
      <x:c r="F14" s="45">
        <x:f t="shared" si="3"/>
        <x:v>72160</x:v>
      </x:c>
      <x:c r="G14" s="6"/>
      <x:c r="H14" s="299"/>
      <x:c r="I14" s="3"/>
      <x:c r="J14" s="3"/>
      <x:c r="K14" s="4"/>
      <x:c r="L14" s="4">
        <x:f>K14*0.1</x:f>
        <x:v>0</x:v>
      </x:c>
      <x:c r="M14" s="5">
        <x:f>+K14+L14</x:f>
        <x:v>0</x:v>
      </x:c>
      <x:c r="N14" s="6"/>
    </x:row>
    <x:row r="15" spans="1:14" ht="20.100000000000001" customHeight="1">
      <x:c r="A15" s="299"/>
      <x:c r="B15" s="3" t="s">
        <x:v>1070</x:v>
      </x:c>
      <x:c r="C15" s="3" t="s">
        <x:v>1164</x:v>
      </x:c>
      <x:c r="D15" s="4">
        <x:v>2400000</x:v>
      </x:c>
      <x:c r="E15" s="4">
        <x:f t="shared" si="1"/>
        <x:v>240000</x:v>
      </x:c>
      <x:c r="F15" s="45">
        <x:f t="shared" si="3"/>
        <x:v>2640000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>+K15+L15</x:f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1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77310292</x:v>
      </x:c>
      <x:c r="E17" s="9">
        <x:f>SUM(E5:E16)</x:f>
        <x:v>7731029.2000000002</x:v>
      </x:c>
      <x:c r="F17" s="10">
        <x:f>SUM(F5:F16)</x:f>
        <x:v>85041321.200000003</x:v>
      </x:c>
      <x:c r="G17" s="11"/>
      <x:c r="H17" s="7"/>
      <x:c r="I17" s="8"/>
      <x:c r="J17" s="8"/>
      <x:c r="K17" s="9">
        <x:f>SUM(K5:K16)</x:f>
        <x:v>6304200</x:v>
      </x:c>
      <x:c r="L17" s="9">
        <x:f>SUM(L5:L16)</x:f>
        <x:v>630420</x:v>
      </x:c>
      <x:c r="M17" s="10">
        <x:f>SUM(M5:M16)</x:f>
        <x:v>6934620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41880000</x:v>
      </x:c>
      <x:c r="E18" s="44"/>
      <x:c r="F18" s="45">
        <x:f>+D18+E18</x:f>
        <x:v>41880000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13180000</x:v>
      </x:c>
      <x:c r="L18" s="4"/>
      <x:c r="M18" s="5">
        <x:f t="shared" si="0"/>
        <x:v>13180000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>+D19+E19</x:f>
        <x:v>0</x:v>
      </x:c>
      <x:c r="G19" s="37"/>
      <x:c r="H19" s="299"/>
      <x:c r="I19" s="3" t="s">
        <x:v>695</x:v>
      </x:c>
      <x:c r="J19" s="3" t="s">
        <x:v>1107</x:v>
      </x:c>
      <x:c r="K19" s="4">
        <x:v>13840000</x:v>
      </x:c>
      <x:c r="L19" s="4"/>
      <x:c r="M19" s="5">
        <x:f t="shared" si="0"/>
        <x:v>13840000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>
        <x:v>4996000</x:v>
      </x:c>
      <x:c r="L20" s="4">
        <x:f>+K20*0.1</x:f>
        <x:v>499600</x:v>
      </x:c>
      <x:c r="M20" s="5">
        <x:f t="shared" si="0"/>
        <x:v>5495600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41880000</x:v>
      </x:c>
      <x:c r="E22" s="9">
        <x:f>SUM(E18:E21)</x:f>
        <x:v>0</x:v>
      </x:c>
      <x:c r="F22" s="10">
        <x:f>SUM(F18:F21)</x:f>
        <x:v>41880000</x:v>
      </x:c>
      <x:c r="G22" s="11"/>
      <x:c r="H22" s="7"/>
      <x:c r="I22" s="8"/>
      <x:c r="J22" s="8"/>
      <x:c r="K22" s="9">
        <x:f>SUM(K18:K21)</x:f>
        <x:v>32016000</x:v>
      </x:c>
      <x:c r="L22" s="9">
        <x:f>SUM(L18:L21)</x:f>
        <x:v>499600</x:v>
      </x:c>
      <x:c r="M22" s="10">
        <x:f>SUM(M18:M21)</x:f>
        <x:v>32515600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240000</x:v>
      </x:c>
      <x:c r="E23" s="4">
        <x:f>+D23*0.1</x:f>
        <x:v>24000</x:v>
      </x:c>
      <x:c r="F23" s="5">
        <x:f>+D23+E23</x:f>
        <x:v>264000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 t="s">
        <x:v>250</x:v>
      </x:c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>
        <x:v>3500000</x:v>
      </x:c>
      <x:c r="E25" s="4">
        <x:f>+D25*0.1</x:f>
        <x:v>350000</x:v>
      </x:c>
      <x:c r="F25" s="5">
        <x:f>+D25+E25</x:f>
        <x:v>3850000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 t="s">
        <x:v>1185</x:v>
      </x:c>
      <x:c r="C26" s="3" t="s">
        <x:v>1081</x:v>
      </x:c>
      <x:c r="D26" s="4">
        <x:v>350000</x:v>
      </x:c>
      <x:c r="E26" s="4">
        <x:f>+D26*0.1</x:f>
        <x:v>35000</x:v>
      </x:c>
      <x:c r="F26" s="5">
        <x:f>+D26+E26</x:f>
        <x:v>385000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4690000</x:v>
      </x:c>
      <x:c r="E27" s="9">
        <x:f>SUM(E23:E26)</x:f>
        <x:v>469000</x:v>
      </x:c>
      <x:c r="F27" s="10">
        <x:f>SUM(F23:F26)</x:f>
        <x:v>5159000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952950</x:v>
      </x:c>
      <x:c r="E28" s="44">
        <x:v>12000</x:v>
      </x:c>
      <x:c r="F28" s="5">
        <x:f>+D28+E28</x:f>
        <x:v>964950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855360</x:v>
      </x:c>
      <x:c r="L28" s="4">
        <x:v>7000</x:v>
      </x:c>
      <x:c r="M28" s="5">
        <x:f t="shared" ref="M28:M37" si="4">+K28+L28</x:f>
        <x:v>862360</x:v>
      </x:c>
      <x:c r="N28" s="6"/>
    </x:row>
    <x:row r="29" spans="1:14" ht="20.100000000000001" customHeight="1">
      <x:c r="A29" s="299"/>
      <x:c r="B29" s="3" t="s">
        <x:v>952</x:v>
      </x:c>
      <x:c r="C29" s="3" t="s">
        <x:v>28</x:v>
      </x:c>
      <x:c r="D29" s="4">
        <x:v>1285000</x:v>
      </x:c>
      <x:c r="E29" s="4">
        <x:f>+D29*0.1</x:f>
        <x:v>128500</x:v>
      </x:c>
      <x:c r="F29" s="5">
        <x:f>+D29+E29</x:f>
        <x:v>1413500</x:v>
      </x:c>
      <x:c r="G29" s="6"/>
      <x:c r="H29" s="299"/>
      <x:c r="I29" s="3" t="s">
        <x:v>1091</x:v>
      </x:c>
      <x:c r="J29" s="3" t="s">
        <x:v>28</x:v>
      </x:c>
      <x:c r="K29" s="4">
        <x:v>332727</x:v>
      </x:c>
      <x:c r="L29" s="4">
        <x:f>+K29*0.1</x:f>
        <x:v>33272.700000000004</x:v>
      </x:c>
      <x:c r="M29" s="5">
        <x:f t="shared" si="4"/>
        <x:v>365999.70000000001</x:v>
      </x:c>
      <x:c r="N29" s="6"/>
    </x:row>
    <x:row r="30" spans="1:14" ht="20.100000000000001" customHeight="1">
      <x:c r="A30" s="299"/>
      <x:c r="B30" s="3" t="s">
        <x:v>959</x:v>
      </x:c>
      <x:c r="C30" s="3" t="s">
        <x:v>825</x:v>
      </x:c>
      <x:c r="D30" s="4">
        <x:v>1390000</x:v>
      </x:c>
      <x:c r="E30" s="4">
        <x:f>+D30*0.1</x:f>
        <x:v>139000</x:v>
      </x:c>
      <x:c r="F30" s="5">
        <x:f>+D30+E30</x:f>
        <x:v>1529000</x:v>
      </x:c>
      <x:c r="G30" s="6"/>
      <x:c r="H30" s="299"/>
      <x:c r="I30" s="3" t="s">
        <x:v>217</x:v>
      </x:c>
      <x:c r="J30" s="3" t="s">
        <x:v>941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186</x:v>
      </x:c>
      <x:c r="C31" s="3" t="s">
        <x:v>941</x:v>
      </x:c>
      <x:c r="D31" s="4">
        <x:v>550000</x:v>
      </x:c>
      <x:c r="E31" s="4"/>
      <x:c r="F31" s="5">
        <x:f>+D31+E31</x:f>
        <x:v>550000</x:v>
      </x:c>
      <x:c r="G31" s="6"/>
      <x:c r="H31" s="299"/>
      <x:c r="I31" s="3" t="s">
        <x:v>883</x:v>
      </x:c>
      <x:c r="J31" s="3" t="s">
        <x:v>1754</x:v>
      </x:c>
      <x:c r="K31" s="4">
        <x:v>200000</x:v>
      </x:c>
      <x:c r="L31" s="4">
        <x:f>K31*0.1</x:f>
        <x:v>20000</x:v>
      </x:c>
      <x:c r="M31" s="5">
        <x:f t="shared" si="4"/>
        <x:v>220000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5">+D32+E32</x:f>
        <x:v>143000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4"/>
        <x:v>110000</x:v>
      </x:c>
      <x:c r="N32" s="6"/>
    </x:row>
    <x:row r="33" spans="1:14" ht="20.100000000000001" customHeight="1">
      <x:c r="A33" s="299"/>
      <x:c r="B33" s="3" t="s">
        <x:v>1699</x:v>
      </x:c>
      <x:c r="C33" s="3" t="s">
        <x:v>167</x:v>
      </x:c>
      <x:c r="D33" s="4">
        <x:v>130000</x:v>
      </x:c>
      <x:c r="E33" s="4">
        <x:f>+D33*0.1</x:f>
        <x:v>13000</x:v>
      </x:c>
      <x:c r="F33" s="5">
        <x:f t="shared" si="5"/>
        <x:v>143000</x:v>
      </x:c>
      <x:c r="G33" s="6"/>
      <x:c r="H33" s="299"/>
      <x:c r="I33" s="3" t="s">
        <x:v>1120</x:v>
      </x:c>
      <x:c r="J33" s="3" t="s">
        <x:v>167</x:v>
      </x:c>
      <x:c r="K33" s="4"/>
      <x:c r="L33" s="4"/>
      <x:c r="M33" s="5">
        <x:f t="shared" si="4"/>
        <x:v>0</x:v>
      </x:c>
      <x:c r="N33" s="6"/>
    </x:row>
    <x:row r="34" spans="1:14" ht="20.100000000000001" customHeight="1">
      <x:c r="A34" s="299"/>
      <x:c r="B34" s="3" t="s">
        <x:v>994</x:v>
      </x:c>
      <x:c r="C34" s="3" t="s">
        <x:v>8</x:v>
      </x:c>
      <x:c r="D34" s="4">
        <x:v>424546</x:v>
      </x:c>
      <x:c r="E34" s="4">
        <x:f>+D34*0.1-1</x:f>
        <x:v>42453.600000000006</x:v>
      </x:c>
      <x:c r="F34" s="5">
        <x:f t="shared" si="5"/>
        <x:v>466999.59999999998</x:v>
      </x:c>
      <x:c r="G34" s="6"/>
      <x:c r="H34" s="299"/>
      <x:c r="I34" s="3"/>
      <x:c r="J34" s="3"/>
      <x:c r="K34" s="4"/>
      <x:c r="L34" s="4"/>
      <x:c r="M34" s="5">
        <x:f t="shared" si="4"/>
        <x:v>0</x:v>
      </x:c>
      <x:c r="N34" s="6"/>
    </x:row>
    <x:row r="35" spans="1:14" ht="20.100000000000001" customHeight="1">
      <x:c r="A35" s="299"/>
      <x:c r="B35" s="3"/>
      <x:c r="C35" s="3"/>
      <x:c r="D35" s="44"/>
      <x:c r="E35" s="44"/>
      <x:c r="F35" s="5">
        <x:f t="shared" si="5"/>
        <x:v>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4862496</x:v>
      </x:c>
      <x:c r="E38" s="9">
        <x:f>SUM(E28:E37)</x:f>
        <x:v>347953.59999999998</x:v>
      </x:c>
      <x:c r="F38" s="10">
        <x:f>SUM(F28:F37)</x:f>
        <x:v>5210449.5999999996</x:v>
      </x:c>
      <x:c r="G38" s="11"/>
      <x:c r="H38" s="7"/>
      <x:c r="I38" s="8"/>
      <x:c r="J38" s="8"/>
      <x:c r="K38" s="9">
        <x:f>SUM(K28:K37)</x:f>
        <x:v>1988087</x:v>
      </x:c>
      <x:c r="L38" s="9">
        <x:f>SUM(L28:L37)</x:f>
        <x:v>120272.70000000001</x:v>
      </x:c>
      <x:c r="M38" s="10">
        <x:f>SUM(M28:M37)</x:f>
        <x:v>2108359.7000000002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128742788</x:v>
      </x:c>
      <x:c r="E39" s="14">
        <x:f>+E17+E22+E27+E38</x:f>
        <x:v>8547982.8000000007</x:v>
      </x:c>
      <x:c r="F39" s="15">
        <x:f>+F17+F22+F27+F38</x:f>
        <x:v>137290770.80000001</x:v>
      </x:c>
      <x:c r="G39" s="16"/>
      <x:c r="H39" s="12"/>
      <x:c r="I39" s="13"/>
      <x:c r="J39" s="13"/>
      <x:c r="K39" s="14">
        <x:f>+K17+K22+K27+K38</x:f>
        <x:v>40308287</x:v>
      </x:c>
      <x:c r="L39" s="14">
        <x:f>+L17+L22+L27+L38</x:f>
        <x:v>1250292.7</x:v>
      </x:c>
      <x:c r="M39" s="15">
        <x:f>+M17+M22+M27+M38</x:f>
        <x:v>41558579.700000003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1257212</x:v>
      </x:c>
      <x:c r="E40" s="25">
        <x:f>+E4-E39</x:f>
        <x:v>-8547982.8000000007</x:v>
      </x:c>
      <x:c r="F40" s="26">
        <x:f>+F4-F39</x:f>
        <x:v>-7290770.8000000119</x:v>
      </x:c>
      <x:c r="G40" s="27"/>
      <x:c r="H40" s="23"/>
      <x:c r="I40" s="24"/>
      <x:c r="J40" s="24"/>
      <x:c r="K40" s="25">
        <x:f>+K4-K39</x:f>
        <x:v>24145713</x:v>
      </x:c>
      <x:c r="L40" s="25">
        <x:f>+L4-L39</x:f>
        <x:v>-1104292.7</x:v>
      </x:c>
      <x:c r="M40" s="26">
        <x:f>+M4-M39</x:f>
        <x:v>23041420.299999997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04" t="s">
        <x:v>144</x:v>
      </x:c>
      <x:c r="C42" s="104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04" t="s">
        <x:v>144</x:v>
      </x:c>
      <x:c r="J42" s="104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03" t="s">
        <x:v>151</x:v>
      </x:c>
      <x:c r="B43" s="38" t="s">
        <x:v>1679</x:v>
      </x:c>
      <x:c r="C43" s="38" t="s">
        <x:v>1030</x:v>
      </x:c>
      <x:c r="D43" s="39">
        <x:v>77285366</x:v>
      </x:c>
      <x:c r="E43" s="39">
        <x:v>5714634</x:v>
      </x:c>
      <x:c r="F43" s="40">
        <x:f t="shared" ref="F43:F57" si="6">+D43+E43</x:f>
        <x:v>83000000</x:v>
      </x:c>
      <x:c r="G43" s="18"/>
      <x:c r="H43" s="103" t="s">
        <x:v>151</x:v>
      </x:c>
      <x:c r="I43" s="38" t="s">
        <x:v>1679</x:v>
      </x:c>
      <x:c r="J43" s="38" t="s">
        <x:v>1030</x:v>
      </x:c>
      <x:c r="K43" s="39">
        <x:v>59368850</x:v>
      </x:c>
      <x:c r="L43" s="39">
        <x:v>631150</x:v>
      </x:c>
      <x:c r="M43" s="40">
        <x:f>+K43+L43</x:f>
        <x:v>60000000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715</x:v>
      </x:c>
      <x:c r="D44" s="20">
        <x:v>5120200</x:v>
      </x:c>
      <x:c r="E44" s="20">
        <x:f>D44*0.1</x:f>
        <x:v>512020</x:v>
      </x:c>
      <x:c r="F44" s="21">
        <x:f t="shared" si="6"/>
        <x:v>5632220</x:v>
      </x:c>
      <x:c r="G44" s="22"/>
      <x:c r="H44" s="298" t="s">
        <x:v>148</x:v>
      </x:c>
      <x:c r="I44" s="19" t="s">
        <x:v>838</x:v>
      </x:c>
      <x:c r="J44" s="19" t="s">
        <x:v>1188</x:v>
      </x:c>
      <x:c r="K44" s="20">
        <x:v>3691450</x:v>
      </x:c>
      <x:c r="L44" s="20">
        <x:f>+K44*0.1</x:f>
        <x:v>369145</x:v>
      </x:c>
      <x:c r="M44" s="21">
        <x:f>+K44+L44</x:f>
        <x:v>4060595</x:v>
      </x:c>
      <x:c r="N44" s="22"/>
    </x:row>
    <x:row r="45" spans="1:14" ht="20.100000000000001" customHeight="1">
      <x:c r="A45" s="299"/>
      <x:c r="B45" s="3" t="s">
        <x:v>840</x:v>
      </x:c>
      <x:c r="C45" s="3" t="s">
        <x:v>342</x:v>
      </x:c>
      <x:c r="D45" s="4">
        <x:v>84000</x:v>
      </x:c>
      <x:c r="E45" s="4">
        <x:f>D45*0.1</x:f>
        <x:v>8400</x:v>
      </x:c>
      <x:c r="F45" s="5">
        <x:f t="shared" si="6"/>
        <x:v>92400</x:v>
      </x:c>
      <x:c r="G45" s="6"/>
      <x:c r="H45" s="299"/>
      <x:c r="I45" s="3" t="s">
        <x:v>867</x:v>
      </x:c>
      <x:c r="J45" s="3" t="s">
        <x:v>374</x:v>
      </x:c>
      <x:c r="K45" s="4">
        <x:v>3912996</x:v>
      </x:c>
      <x:c r="L45" s="4">
        <x:f>+K45*0.1-1</x:f>
        <x:v>391298.60000000003</x:v>
      </x:c>
      <x:c r="M45" s="5">
        <x:f>+K45+L45</x:f>
        <x:v>4304294.5999999996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13338000</x:v>
      </x:c>
      <x:c r="E46" s="4">
        <x:f>D46*0.1</x:f>
        <x:v>1333800</x:v>
      </x:c>
      <x:c r="F46" s="5">
        <x:f t="shared" si="6"/>
        <x:v>14671800</x:v>
      </x:c>
      <x:c r="G46" s="6"/>
      <x:c r="H46" s="299"/>
      <x:c r="I46" s="3" t="s">
        <x:v>840</x:v>
      </x:c>
      <x:c r="J46" s="3"/>
      <x:c r="K46" s="4"/>
      <x:c r="L46" s="4">
        <x:f t="shared" ref="L46:L51" si="7">+INT(K46*0.1)</x:f>
        <x:v>0</x:v>
      </x:c>
      <x:c r="M46" s="5">
        <x:f t="shared" ref="M46:M51" si="8">+K46+L46</x:f>
        <x:v>0</x:v>
      </x:c>
      <x:c r="N46" s="6"/>
    </x:row>
    <x:row r="47" spans="1:14" ht="20.100000000000001" customHeight="1">
      <x:c r="A47" s="299"/>
      <x:c r="B47" s="3" t="s">
        <x:v>976</x:v>
      </x:c>
      <x:c r="C47" s="3" t="s">
        <x:v>337</x:v>
      </x:c>
      <x:c r="D47" s="4">
        <x:v>369000</x:v>
      </x:c>
      <x:c r="E47" s="4">
        <x:f>D47*0.1</x:f>
        <x:v>36900</x:v>
      </x:c>
      <x:c r="F47" s="5">
        <x:f t="shared" ref="F47:F52" si="9">+D47+E47</x:f>
        <x:v>405900</x:v>
      </x:c>
      <x:c r="G47" s="6"/>
      <x:c r="H47" s="299"/>
      <x:c r="I47" s="3" t="s">
        <x:v>976</x:v>
      </x:c>
      <x:c r="J47" s="3" t="s">
        <x:v>694</x:v>
      </x:c>
      <x:c r="K47" s="4">
        <x:v>139000</x:v>
      </x:c>
      <x:c r="L47" s="4">
        <x:f t="shared" si="7"/>
        <x:v>13900</x:v>
      </x:c>
      <x:c r="M47" s="5">
        <x:f t="shared" si="8"/>
        <x:v>152900</x:v>
      </x:c>
      <x:c r="N47" s="6"/>
    </x:row>
    <x:row r="48" spans="1:14" ht="20.100000000000001" customHeight="1">
      <x:c r="A48" s="299"/>
      <x:c r="B48" s="3" t="s">
        <x:v>1058</x:v>
      </x:c>
      <x:c r="C48" s="3"/>
      <x:c r="D48" s="4"/>
      <x:c r="E48" s="4">
        <x:f>D48*0.1</x:f>
        <x:v>0</x:v>
      </x:c>
      <x:c r="F48" s="5">
        <x:f t="shared" si="9"/>
        <x:v>0</x:v>
      </x:c>
      <x:c r="G48" s="6"/>
      <x:c r="H48" s="299"/>
      <x:c r="I48" s="3" t="s">
        <x:v>1058</x:v>
      </x:c>
      <x:c r="J48" s="3" t="s">
        <x:v>711</x:v>
      </x:c>
      <x:c r="K48" s="4">
        <x:v>1490700</x:v>
      </x:c>
      <x:c r="L48" s="4">
        <x:f t="shared" si="7"/>
        <x:v>149070</x:v>
      </x:c>
      <x:c r="M48" s="5">
        <x:f t="shared" si="8"/>
        <x:v>1639770</x:v>
      </x:c>
      <x:c r="N48" s="6"/>
    </x:row>
    <x:row r="49" spans="1:14" ht="20.100000000000001" customHeight="1">
      <x:c r="A49" s="299"/>
      <x:c r="B49" s="3" t="s">
        <x:v>846</x:v>
      </x:c>
      <x:c r="C49" s="3" t="s">
        <x:v>1154</x:v>
      </x:c>
      <x:c r="D49" s="4">
        <x:v>1850008</x:v>
      </x:c>
      <x:c r="E49" s="4">
        <x:f t="shared" ref="E49:E57" si="10">+INT(D49*0.1)</x:f>
        <x:v>185000</x:v>
      </x:c>
      <x:c r="F49" s="5">
        <x:f t="shared" si="9"/>
        <x:v>2035008</x:v>
      </x:c>
      <x:c r="G49" s="6"/>
      <x:c r="H49" s="299"/>
      <x:c r="I49" s="3" t="s">
        <x:v>967</x:v>
      </x:c>
      <x:c r="J49" s="3"/>
      <x:c r="K49" s="4"/>
      <x:c r="L49" s="4">
        <x:f t="shared" si="7"/>
        <x:v>0</x:v>
      </x:c>
      <x:c r="M49" s="5">
        <x:f t="shared" si="8"/>
        <x:v>0</x:v>
      </x:c>
      <x:c r="N49" s="6"/>
    </x:row>
    <x:row r="50" spans="1:14" ht="20.100000000000001" customHeight="1">
      <x:c r="A50" s="299"/>
      <x:c r="B50" s="3" t="s">
        <x:v>938</x:v>
      </x:c>
      <x:c r="C50" s="3" t="s">
        <x:v>953</x:v>
      </x:c>
      <x:c r="D50" s="4">
        <x:v>239000</x:v>
      </x:c>
      <x:c r="E50" s="4">
        <x:f t="shared" si="10"/>
        <x:v>23900</x:v>
      </x:c>
      <x:c r="F50" s="5">
        <x:f t="shared" si="9"/>
        <x:v>262900</x:v>
      </x:c>
      <x:c r="G50" s="6"/>
      <x:c r="H50" s="299"/>
      <x:c r="I50" s="3" t="s">
        <x:v>846</x:v>
      </x:c>
      <x:c r="J50" s="3" t="s">
        <x:v>704</x:v>
      </x:c>
      <x:c r="K50" s="4">
        <x:v>394950</x:v>
      </x:c>
      <x:c r="L50" s="4">
        <x:f t="shared" si="7"/>
        <x:v>39495</x:v>
      </x:c>
      <x:c r="M50" s="5">
        <x:f t="shared" si="8"/>
        <x:v>434445</x:v>
      </x:c>
      <x:c r="N50" s="6"/>
    </x:row>
    <x:row r="51" spans="1:14" ht="20.100000000000001" customHeight="1">
      <x:c r="A51" s="299"/>
      <x:c r="B51" s="3" t="s">
        <x:v>1705</x:v>
      </x:c>
      <x:c r="C51" s="3" t="s">
        <x:v>1139</x:v>
      </x:c>
      <x:c r="D51" s="4">
        <x:v>480000</x:v>
      </x:c>
      <x:c r="E51" s="4">
        <x:f t="shared" si="10"/>
        <x:v>48000</x:v>
      </x:c>
      <x:c r="F51" s="5">
        <x:f t="shared" si="9"/>
        <x:v>528000</x:v>
      </x:c>
      <x:c r="G51" s="6"/>
      <x:c r="H51" s="299"/>
      <x:c r="I51" s="3" t="s">
        <x:v>846</x:v>
      </x:c>
      <x:c r="J51" s="3" t="s">
        <x:v>1160</x:v>
      </x:c>
      <x:c r="K51" s="4">
        <x:v>228000</x:v>
      </x:c>
      <x:c r="L51" s="4">
        <x:f t="shared" si="7"/>
        <x:v>22800</x:v>
      </x:c>
      <x:c r="M51" s="5">
        <x:f t="shared" si="8"/>
        <x:v>250800</x:v>
      </x:c>
      <x:c r="N51" s="6"/>
    </x:row>
    <x:row r="52" spans="1:14" ht="20.100000000000001" customHeight="1">
      <x:c r="A52" s="299"/>
      <x:c r="B52" s="3" t="s">
        <x:v>1119</x:v>
      </x:c>
      <x:c r="C52" s="3" t="s">
        <x:v>1158</x:v>
      </x:c>
      <x:c r="D52" s="4">
        <x:v>292000</x:v>
      </x:c>
      <x:c r="E52" s="4">
        <x:f t="shared" si="10"/>
        <x:v>29200</x:v>
      </x:c>
      <x:c r="F52" s="5">
        <x:f t="shared" si="9"/>
        <x:v>321200</x:v>
      </x:c>
      <x:c r="G52" s="6"/>
      <x:c r="H52" s="299"/>
      <x:c r="I52" s="3"/>
      <x:c r="J52" s="3"/>
      <x:c r="K52" s="4"/>
      <x:c r="L52" s="4">
        <x:f t="shared" ref="L52:L57" si="11">+INT(K52*0.1)</x:f>
        <x:v>0</x:v>
      </x:c>
      <x:c r="M52" s="5">
        <x:f t="shared" ref="M52:M57" si="12">+K52+L52</x:f>
        <x:v>0</x:v>
      </x:c>
      <x:c r="N52" s="6"/>
    </x:row>
    <x:row r="53" spans="1:14" ht="20.100000000000001" customHeight="1">
      <x:c r="A53" s="299"/>
      <x:c r="B53" s="3"/>
      <x:c r="C53" s="3"/>
      <x:c r="D53" s="4"/>
      <x:c r="E53" s="4">
        <x:f t="shared" si="10"/>
        <x:v>0</x:v>
      </x:c>
      <x:c r="F53" s="5">
        <x:f t="shared" si="6"/>
        <x:v>0</x:v>
      </x:c>
      <x:c r="G53" s="6"/>
      <x:c r="H53" s="299"/>
      <x:c r="I53" s="3"/>
      <x:c r="J53" s="3"/>
      <x:c r="K53" s="4"/>
      <x:c r="L53" s="4">
        <x:f t="shared" si="11"/>
        <x:v>0</x:v>
      </x:c>
      <x:c r="M53" s="5">
        <x:f t="shared" si="12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10"/>
        <x:v>0</x:v>
      </x:c>
      <x:c r="F54" s="5">
        <x:f t="shared" si="6"/>
        <x:v>0</x:v>
      </x:c>
      <x:c r="G54" s="6"/>
      <x:c r="H54" s="299"/>
      <x:c r="I54" s="3"/>
      <x:c r="J54" s="3"/>
      <x:c r="K54" s="4"/>
      <x:c r="L54" s="4">
        <x:f t="shared" si="11"/>
        <x:v>0</x:v>
      </x:c>
      <x:c r="M54" s="5">
        <x:f t="shared" si="12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10"/>
        <x:v>0</x:v>
      </x:c>
      <x:c r="F55" s="5">
        <x:f t="shared" si="6"/>
        <x:v>0</x:v>
      </x:c>
      <x:c r="G55" s="6"/>
      <x:c r="H55" s="299"/>
      <x:c r="I55" s="3"/>
      <x:c r="J55" s="3"/>
      <x:c r="K55" s="4"/>
      <x:c r="L55" s="4">
        <x:f t="shared" si="11"/>
        <x:v>0</x:v>
      </x:c>
      <x:c r="M55" s="5">
        <x:f t="shared" si="12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10"/>
        <x:v>0</x:v>
      </x:c>
      <x:c r="F56" s="5">
        <x:f t="shared" si="6"/>
        <x:v>0</x:v>
      </x:c>
      <x:c r="G56" s="6"/>
      <x:c r="H56" s="299"/>
      <x:c r="I56" s="3"/>
      <x:c r="J56" s="3"/>
      <x:c r="K56" s="4"/>
      <x:c r="L56" s="4">
        <x:f t="shared" si="11"/>
        <x:v>0</x:v>
      </x:c>
      <x:c r="M56" s="5">
        <x:f t="shared" si="12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10"/>
        <x:v>0</x:v>
      </x:c>
      <x:c r="F57" s="5">
        <x:f t="shared" si="6"/>
        <x:v>0</x:v>
      </x:c>
      <x:c r="G57" s="6"/>
      <x:c r="H57" s="299"/>
      <x:c r="I57" s="3"/>
      <x:c r="J57" s="3"/>
      <x:c r="K57" s="4"/>
      <x:c r="L57" s="4">
        <x:f t="shared" si="11"/>
        <x:v>0</x:v>
      </x:c>
      <x:c r="M57" s="5">
        <x:f t="shared" si="12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/>
      <x:c r="M58" s="5"/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21772208</x:v>
      </x:c>
      <x:c r="E59" s="9">
        <x:f>SUM(E44:E58)</x:f>
        <x:v>2177220</x:v>
      </x:c>
      <x:c r="F59" s="10">
        <x:f>SUM(F44:F58)</x:f>
        <x:v>23949428</x:v>
      </x:c>
      <x:c r="G59" s="11"/>
      <x:c r="H59" s="7" t="s">
        <x:v>155</x:v>
      </x:c>
      <x:c r="I59" s="8"/>
      <x:c r="J59" s="8"/>
      <x:c r="K59" s="9">
        <x:f>SUM(K44:K58)</x:f>
        <x:v>9857096</x:v>
      </x:c>
      <x:c r="L59" s="9">
        <x:f>SUM(L44:L58)</x:f>
        <x:v>985708.60000000009</x:v>
      </x:c>
      <x:c r="M59" s="10">
        <x:f>SUM(M44:M58)</x:f>
        <x:v>10842804.6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1095</x:v>
      </x:c>
      <x:c r="D60" s="44">
        <x:v>38625000</x:v>
      </x:c>
      <x:c r="E60" s="44"/>
      <x:c r="F60" s="45">
        <x:f>+D60+E60</x:f>
        <x:v>38625000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30870000</x:v>
      </x:c>
      <x:c r="L60" s="44"/>
      <x:c r="M60" s="45">
        <x:f>+K60+L60</x:f>
        <x:v>30870000</x:v>
      </x:c>
      <x:c r="N60" s="37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38625000</x:v>
      </x:c>
      <x:c r="E64" s="9">
        <x:f>SUM(E60:E63)</x:f>
        <x:v>0</x:v>
      </x:c>
      <x:c r="F64" s="10">
        <x:f>SUM(F60:F63)</x:f>
        <x:v>38625000</x:v>
      </x:c>
      <x:c r="G64" s="11"/>
      <x:c r="H64" s="7" t="s">
        <x:v>155</x:v>
      </x:c>
      <x:c r="I64" s="8"/>
      <x:c r="J64" s="8"/>
      <x:c r="K64" s="9">
        <x:f>SUM(K60:K63)</x:f>
        <x:v>30870000</x:v>
      </x:c>
      <x:c r="L64" s="9">
        <x:f>SUM(L60:L63)</x:f>
        <x:v>0</x:v>
      </x:c>
      <x:c r="M64" s="10">
        <x:f>SUM(M60:M63)</x:f>
        <x:v>30870000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>
        <x:v>460000</x:v>
      </x:c>
      <x:c r="L65" s="4">
        <x:f>+K65*0.1</x:f>
        <x:v>46000</x:v>
      </x:c>
      <x:c r="M65" s="5">
        <x:f>+K65+L65</x:f>
        <x:v>506000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460000</x:v>
      </x:c>
      <x:c r="L69" s="9">
        <x:f>SUM(L65:L68)</x:f>
        <x:v>46000</x:v>
      </x:c>
      <x:c r="M69" s="10">
        <x:f>SUM(M65:M68)</x:f>
        <x:v>506000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727700</x:v>
      </x:c>
      <x:c r="E70" s="4"/>
      <x:c r="F70" s="5">
        <x:f>+D70+E70</x:f>
        <x:v>727700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1478230</x:v>
      </x:c>
      <x:c r="L70" s="4"/>
      <x:c r="M70" s="5">
        <x:f t="shared" ref="M70:M79" si="13">+K70+L70</x:f>
        <x:v>1478230</x:v>
      </x:c>
      <x:c r="N70" s="6"/>
    </x:row>
    <x:row r="71" spans="1:14" ht="20.100000000000001" customHeight="1">
      <x:c r="A71" s="299"/>
      <x:c r="B71" s="3" t="s">
        <x:v>172</x:v>
      </x:c>
      <x:c r="C71" s="3" t="s">
        <x:v>66</x:v>
      </x:c>
      <x:c r="D71" s="4">
        <x:v>450000</x:v>
      </x:c>
      <x:c r="E71" s="4">
        <x:f>+D71*0.1</x:f>
        <x:v>45000</x:v>
      </x:c>
      <x:c r="F71" s="5">
        <x:f>+D71+E71</x:f>
        <x:v>495000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 t="shared" si="13"/>
        <x:v>550000</x:v>
      </x:c>
      <x:c r="N71" s="6"/>
    </x:row>
    <x:row r="72" spans="1:14" ht="20.100000000000001" customHeight="1">
      <x:c r="A72" s="299"/>
      <x:c r="B72" s="3" t="s">
        <x:v>924</x:v>
      </x:c>
      <x:c r="C72" s="3" t="s">
        <x:v>167</x:v>
      </x:c>
      <x:c r="D72" s="4">
        <x:v>84000</x:v>
      </x:c>
      <x:c r="E72" s="4">
        <x:f>+D72*0.1</x:f>
        <x:v>8400</x:v>
      </x:c>
      <x:c r="F72" s="5">
        <x:f t="shared" ref="F72:F79" si="14">+D72+E72</x:f>
        <x:v>92400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 t="shared" si="13"/>
        <x:v>48000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4"/>
        <x:v>110000</x:v>
      </x:c>
      <x:c r="G73" s="6"/>
      <x:c r="H73" s="299"/>
      <x:c r="I73" s="3" t="s">
        <x:v>1061</x:v>
      </x:c>
      <x:c r="J73" s="3" t="s">
        <x:v>167</x:v>
      </x:c>
      <x:c r="K73" s="4">
        <x:v>100000</x:v>
      </x:c>
      <x:c r="L73" s="4">
        <x:f>+K73*0.1</x:f>
        <x:v>10000</x:v>
      </x:c>
      <x:c r="M73" s="5">
        <x:f t="shared" si="13"/>
        <x:v>110000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1488000</x:v>
      </x:c>
      <x:c r="E74" s="4">
        <x:f>D74*0.1</x:f>
        <x:v>148800</x:v>
      </x:c>
      <x:c r="F74" s="5">
        <x:f t="shared" si="14"/>
        <x:v>1636800</x:v>
      </x:c>
      <x:c r="G74" s="6"/>
      <x:c r="H74" s="299"/>
      <x:c r="I74" s="3" t="s">
        <x:v>1047</x:v>
      </x:c>
      <x:c r="J74" s="3" t="s">
        <x:v>962</x:v>
      </x:c>
      <x:c r="K74" s="4">
        <x:v>996000</x:v>
      </x:c>
      <x:c r="L74" s="4">
        <x:f>+K74*0.1</x:f>
        <x:v>99600</x:v>
      </x:c>
      <x:c r="M74" s="5">
        <x:f t="shared" si="13"/>
        <x:v>1095600</x:v>
      </x:c>
      <x:c r="N74" s="6"/>
    </x:row>
    <x:row r="75" spans="1:14" ht="20.100000000000001" customHeight="1">
      <x:c r="A75" s="299"/>
      <x:c r="B75" s="3" t="s">
        <x:v>926</x:v>
      </x:c>
      <x:c r="C75" s="3" t="s">
        <x:v>927</x:v>
      </x:c>
      <x:c r="D75" s="4">
        <x:v>367870</x:v>
      </x:c>
      <x:c r="E75" s="4"/>
      <x:c r="F75" s="5">
        <x:f t="shared" si="14"/>
        <x:v>367870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3"/>
        <x:v>110000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4"/>
        <x:v>0</x:v>
      </x:c>
      <x:c r="G76" s="6"/>
      <x:c r="H76" s="299"/>
      <x:c r="I76" s="3"/>
      <x:c r="J76" s="3"/>
      <x:c r="K76" s="4"/>
      <x:c r="L76" s="4"/>
      <x:c r="M76" s="5">
        <x:f t="shared" si="13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4"/>
        <x:v>0</x:v>
      </x:c>
      <x:c r="G77" s="6"/>
      <x:c r="H77" s="299"/>
      <x:c r="I77" s="3"/>
      <x:c r="J77" s="3"/>
      <x:c r="K77" s="4"/>
      <x:c r="L77" s="4"/>
      <x:c r="M77" s="5">
        <x:f t="shared" si="13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4"/>
        <x:v>0</x:v>
      </x:c>
      <x:c r="G78" s="6"/>
      <x:c r="H78" s="299"/>
      <x:c r="I78" s="3"/>
      <x:c r="J78" s="3"/>
      <x:c r="K78" s="4"/>
      <x:c r="L78" s="4"/>
      <x:c r="M78" s="5">
        <x:f t="shared" si="13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4"/>
        <x:v>0</x:v>
      </x:c>
      <x:c r="G79" s="6"/>
      <x:c r="H79" s="300"/>
      <x:c r="I79" s="3"/>
      <x:c r="J79" s="3"/>
      <x:c r="K79" s="4"/>
      <x:c r="L79" s="4"/>
      <x:c r="M79" s="5">
        <x:f t="shared" si="13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3217570</x:v>
      </x:c>
      <x:c r="E80" s="9">
        <x:f>SUM(E70:E79)</x:f>
        <x:v>212200</x:v>
      </x:c>
      <x:c r="F80" s="10">
        <x:f>SUM(F70:F79)</x:f>
        <x:v>3429770</x:v>
      </x:c>
      <x:c r="G80" s="11"/>
      <x:c r="H80" s="7" t="s">
        <x:v>155</x:v>
      </x:c>
      <x:c r="I80" s="8"/>
      <x:c r="J80" s="8"/>
      <x:c r="K80" s="9">
        <x:f>SUM(K70:K79)</x:f>
        <x:v>3222230</x:v>
      </x:c>
      <x:c r="L80" s="9">
        <x:f>SUM(L70:L79)</x:f>
        <x:v>169600</x:v>
      </x:c>
      <x:c r="M80" s="10">
        <x:f>SUM(M70:M79)</x:f>
        <x:v>3391830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63914778</x:v>
      </x:c>
      <x:c r="E81" s="14">
        <x:f>+E59+E64+E69+E80</x:f>
        <x:v>2419420</x:v>
      </x:c>
      <x:c r="F81" s="15">
        <x:f>+F59+F64+F69+F80</x:f>
        <x:v>66334198</x:v>
      </x:c>
      <x:c r="G81" s="16"/>
      <x:c r="H81" s="12"/>
      <x:c r="I81" s="13"/>
      <x:c r="J81" s="13"/>
      <x:c r="K81" s="14">
        <x:f>+K59+K64+K69+K80</x:f>
        <x:v>44409326</x:v>
      </x:c>
      <x:c r="L81" s="14">
        <x:f>+L59+L64+L69+L80</x:f>
        <x:v>1201308.6000000001</x:v>
      </x:c>
      <x:c r="M81" s="15">
        <x:f>+M59+M64+M69+M80</x:f>
        <x:v>45610634.600000001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13370588</x:v>
      </x:c>
      <x:c r="E82" s="25">
        <x:f>+E43-E81</x:f>
        <x:v>3295214</x:v>
      </x:c>
      <x:c r="F82" s="26">
        <x:f>+F43-F81</x:f>
        <x:v>16665802</x:v>
      </x:c>
      <x:c r="G82" s="27"/>
      <x:c r="H82" s="23"/>
      <x:c r="I82" s="24"/>
      <x:c r="J82" s="24"/>
      <x:c r="K82" s="25">
        <x:f>+K43-K81</x:f>
        <x:v>14959524</x:v>
      </x:c>
      <x:c r="L82" s="25">
        <x:f>+L43-L81</x:f>
        <x:v>-570158.60000000009</x:v>
      </x:c>
      <x:c r="M82" s="26">
        <x:f>+M43-M81</x:f>
        <x:v>14389365.399999999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 t="s">
        <x:v>709</x:v>
      </x:c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04" t="s">
        <x:v>144</x:v>
      </x:c>
      <x:c r="C84" s="104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04" t="s">
        <x:v>144</x:v>
      </x:c>
      <x:c r="J84" s="104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75340470</x:v>
      </x:c>
      <x:c r="E85" s="39">
        <x:v>659530</x:v>
      </x:c>
      <x:c r="F85" s="40">
        <x:f>+D85+E85</x:f>
        <x:v>76000000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>
        <x:v>727273</x:v>
      </x:c>
      <x:c r="L85" s="39">
        <x:v>72727</x:v>
      </x:c>
      <x:c r="M85" s="40">
        <x:f>+K85+L85</x:f>
        <x:v>800000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1184</x:v>
      </x:c>
      <x:c r="D86" s="20">
        <x:v>3888060</x:v>
      </x:c>
      <x:c r="E86" s="20">
        <x:f>+D86*0.1</x:f>
        <x:v>388806</x:v>
      </x:c>
      <x:c r="F86" s="21">
        <x:f t="shared" ref="F86:F91" si="15">+D86+E86</x:f>
        <x:v>4276866</x:v>
      </x:c>
      <x:c r="G86" s="22"/>
      <x:c r="H86" s="298" t="s">
        <x:v>148</x:v>
      </x:c>
      <x:c r="I86" s="19" t="s">
        <x:v>846</x:v>
      </x:c>
      <x:c r="J86" s="19" t="s">
        <x:v>1145</x:v>
      </x:c>
      <x:c r="K86" s="20">
        <x:v>235384</x:v>
      </x:c>
      <x:c r="L86" s="20">
        <x:f>+K86*0.1</x:f>
        <x:v>23538.400000000001</x:v>
      </x:c>
      <x:c r="M86" s="21">
        <x:f t="shared" ref="M86:M100" si="16">+K86+L86</x:f>
        <x:v>258922.39999999999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>
        <x:v>5232000</x:v>
      </x:c>
      <x:c r="E87" s="4">
        <x:f>D87*0.1</x:f>
        <x:v>523200</x:v>
      </x:c>
      <x:c r="F87" s="5">
        <x:f t="shared" si="15"/>
        <x:v>5755200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6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1183</x:v>
      </x:c>
      <x:c r="D88" s="4">
        <x:v>116600</x:v>
      </x:c>
      <x:c r="E88" s="4">
        <x:f t="shared" ref="E88:E93" si="17">+D88*0.1</x:f>
        <x:v>11660</x:v>
      </x:c>
      <x:c r="F88" s="5">
        <x:f t="shared" si="15"/>
        <x:v>128260</x:v>
      </x:c>
      <x:c r="G88" s="6"/>
      <x:c r="H88" s="299"/>
      <x:c r="I88" s="3"/>
      <x:c r="J88" s="3"/>
      <x:c r="K88" s="4"/>
      <x:c r="L88" s="4">
        <x:f t="shared" ref="L88:L100" si="18">+K88*0.1</x:f>
        <x:v>0</x:v>
      </x:c>
      <x:c r="M88" s="5">
        <x:f t="shared" si="16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387</x:v>
      </x:c>
      <x:c r="D89" s="4">
        <x:v>2559200</x:v>
      </x:c>
      <x:c r="E89" s="4">
        <x:f t="shared" si="17"/>
        <x:v>255920</x:v>
      </x:c>
      <x:c r="F89" s="5">
        <x:f t="shared" si="15"/>
        <x:v>2815120</x:v>
      </x:c>
      <x:c r="G89" s="6"/>
      <x:c r="H89" s="299"/>
      <x:c r="I89" s="3"/>
      <x:c r="J89" s="3"/>
      <x:c r="K89" s="4"/>
      <x:c r="L89" s="4">
        <x:f t="shared" si="18"/>
        <x:v>0</x:v>
      </x:c>
      <x:c r="M89" s="5">
        <x:f t="shared" si="16"/>
        <x:v>0</x:v>
      </x:c>
      <x:c r="N89" s="6"/>
    </x:row>
    <x:row r="90" spans="1:14" ht="20.100000000000001" customHeight="1">
      <x:c r="A90" s="299"/>
      <x:c r="B90" s="3" t="s">
        <x:v>976</x:v>
      </x:c>
      <x:c r="C90" s="3" t="s">
        <x:v>366</x:v>
      </x:c>
      <x:c r="D90" s="4">
        <x:v>791400</x:v>
      </x:c>
      <x:c r="E90" s="4">
        <x:f t="shared" si="17"/>
        <x:v>79140</x:v>
      </x:c>
      <x:c r="F90" s="5">
        <x:f t="shared" si="15"/>
        <x:v>870540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6"/>
        <x:v>0</x:v>
      </x:c>
      <x:c r="N90" s="6"/>
    </x:row>
    <x:row r="91" spans="1:14" ht="20.100000000000001" customHeight="1">
      <x:c r="A91" s="299"/>
      <x:c r="B91" s="3" t="s">
        <x:v>967</x:v>
      </x:c>
      <x:c r="C91" s="3"/>
      <x:c r="D91" s="4"/>
      <x:c r="E91" s="4">
        <x:f t="shared" si="17"/>
        <x:v>0</x:v>
      </x:c>
      <x:c r="F91" s="5">
        <x:f t="shared" si="15"/>
        <x:v>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6"/>
        <x:v>0</x:v>
      </x:c>
      <x:c r="N91" s="6"/>
    </x:row>
    <x:row r="92" spans="1:14" ht="20.100000000000001" customHeight="1">
      <x:c r="A92" s="299"/>
      <x:c r="B92" s="3" t="s">
        <x:v>1705</x:v>
      </x:c>
      <x:c r="C92" s="3" t="s">
        <x:v>1139</x:v>
      </x:c>
      <x:c r="D92" s="4">
        <x:v>610000</x:v>
      </x:c>
      <x:c r="E92" s="4">
        <x:f t="shared" si="17"/>
        <x:v>61000</x:v>
      </x:c>
      <x:c r="F92" s="5">
        <x:f>+D92+E92</x:f>
        <x:v>671000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 t="s">
        <x:v>1158</x:v>
      </x:c>
      <x:c r="D93" s="4">
        <x:v>969400</x:v>
      </x:c>
      <x:c r="E93" s="4">
        <x:f t="shared" si="17"/>
        <x:v>96940</x:v>
      </x:c>
      <x:c r="F93" s="5">
        <x:f>+D93+E93</x:f>
        <x:v>1066340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846</x:v>
      </x:c>
      <x:c r="C94" s="3" t="s">
        <x:v>1162</x:v>
      </x:c>
      <x:c r="D94" s="4">
        <x:v>1236050</x:v>
      </x:c>
      <x:c r="E94" s="4">
        <x:f t="shared" ref="E94:E100" si="19">+D94*0.1</x:f>
        <x:v>123605</x:v>
      </x:c>
      <x:c r="F94" s="5">
        <x:f t="shared" ref="F94:F100" si="20">+D94+E94</x:f>
        <x:v>1359655</x:v>
      </x:c>
      <x:c r="G94" s="6"/>
      <x:c r="H94" s="299"/>
      <x:c r="I94" s="3"/>
      <x:c r="J94" s="3"/>
      <x:c r="K94" s="4"/>
      <x:c r="L94" s="4">
        <x:f t="shared" si="18"/>
        <x:v>0</x:v>
      </x:c>
      <x:c r="M94" s="5">
        <x:f t="shared" si="16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1160</x:v>
      </x:c>
      <x:c r="D95" s="4">
        <x:v>156000</x:v>
      </x:c>
      <x:c r="E95" s="4">
        <x:f t="shared" si="19"/>
        <x:v>15600</x:v>
      </x:c>
      <x:c r="F95" s="5">
        <x:f t="shared" si="20"/>
        <x:v>171600</x:v>
      </x:c>
      <x:c r="G95" s="6"/>
      <x:c r="H95" s="299"/>
      <x:c r="I95" s="3"/>
      <x:c r="J95" s="3"/>
      <x:c r="K95" s="4"/>
      <x:c r="L95" s="4">
        <x:f t="shared" si="18"/>
        <x:v>0</x:v>
      </x:c>
      <x:c r="M95" s="5">
        <x:f t="shared" si="16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9"/>
        <x:v>0</x:v>
      </x:c>
      <x:c r="F96" s="5">
        <x:f t="shared" si="20"/>
        <x:v>0</x:v>
      </x:c>
      <x:c r="G96" s="6"/>
      <x:c r="H96" s="299"/>
      <x:c r="I96" s="3"/>
      <x:c r="J96" s="3"/>
      <x:c r="K96" s="4"/>
      <x:c r="L96" s="4">
        <x:f t="shared" si="18"/>
        <x:v>0</x:v>
      </x:c>
      <x:c r="M96" s="5">
        <x:f t="shared" si="16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9"/>
        <x:v>0</x:v>
      </x:c>
      <x:c r="F97" s="5">
        <x:f t="shared" si="20"/>
        <x:v>0</x:v>
      </x:c>
      <x:c r="G97" s="6"/>
      <x:c r="H97" s="299"/>
      <x:c r="I97" s="3"/>
      <x:c r="J97" s="3"/>
      <x:c r="K97" s="4"/>
      <x:c r="L97" s="4">
        <x:f t="shared" si="18"/>
        <x:v>0</x:v>
      </x:c>
      <x:c r="M97" s="5">
        <x:f t="shared" si="16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9"/>
        <x:v>0</x:v>
      </x:c>
      <x:c r="F98" s="5">
        <x:f t="shared" si="20"/>
        <x:v>0</x:v>
      </x:c>
      <x:c r="G98" s="6"/>
      <x:c r="H98" s="299"/>
      <x:c r="I98" s="3"/>
      <x:c r="J98" s="3"/>
      <x:c r="K98" s="4"/>
      <x:c r="L98" s="4">
        <x:f t="shared" si="18"/>
        <x:v>0</x:v>
      </x:c>
      <x:c r="M98" s="5">
        <x:f t="shared" si="16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9"/>
        <x:v>0</x:v>
      </x:c>
      <x:c r="F99" s="5">
        <x:f t="shared" si="20"/>
        <x:v>0</x:v>
      </x:c>
      <x:c r="G99" s="6"/>
      <x:c r="H99" s="299"/>
      <x:c r="I99" s="3"/>
      <x:c r="J99" s="3"/>
      <x:c r="K99" s="4"/>
      <x:c r="L99" s="4">
        <x:f t="shared" si="18"/>
        <x:v>0</x:v>
      </x:c>
      <x:c r="M99" s="5">
        <x:f t="shared" si="16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9"/>
        <x:v>0</x:v>
      </x:c>
      <x:c r="F100" s="5">
        <x:f t="shared" si="20"/>
        <x:v>0</x:v>
      </x:c>
      <x:c r="G100" s="6"/>
      <x:c r="H100" s="300"/>
      <x:c r="I100" s="3"/>
      <x:c r="J100" s="3"/>
      <x:c r="K100" s="4"/>
      <x:c r="L100" s="4">
        <x:f t="shared" si="18"/>
        <x:v>0</x:v>
      </x:c>
      <x:c r="M100" s="5">
        <x:f t="shared" si="16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15558710</x:v>
      </x:c>
      <x:c r="E101" s="9">
        <x:f>SUM(E86:E100)</x:f>
        <x:v>1555871</x:v>
      </x:c>
      <x:c r="F101" s="10">
        <x:f>SUM(F86:F100)</x:f>
        <x:v>17114581</x:v>
      </x:c>
      <x:c r="G101" s="11"/>
      <x:c r="H101" s="7"/>
      <x:c r="I101" s="8"/>
      <x:c r="J101" s="8"/>
      <x:c r="K101" s="9">
        <x:f>SUM(K86:K100)</x:f>
        <x:v>235384</x:v>
      </x:c>
      <x:c r="L101" s="9">
        <x:f>SUM(L86:L100)</x:f>
        <x:v>23538.400000000001</x:v>
      </x:c>
      <x:c r="M101" s="10">
        <x:f>SUM(M86:M100)</x:f>
        <x:v>258922.39999999999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15035000</x:v>
      </x:c>
      <x:c r="E102" s="4"/>
      <x:c r="F102" s="5">
        <x:f>+D102+E102</x:f>
        <x:v>15035000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695</x:v>
      </x:c>
      <x:c r="C103" s="3" t="s">
        <x:v>1127</x:v>
      </x:c>
      <x:c r="D103" s="4">
        <x:v>20070000</x:v>
      </x:c>
      <x:c r="E103" s="4"/>
      <x:c r="F103" s="5">
        <x:f>+D103+E103</x:f>
        <x:v>20070000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35105000</x:v>
      </x:c>
      <x:c r="E106" s="9">
        <x:f>SUM(E102:E105)</x:f>
        <x:v>0</x:v>
      </x:c>
      <x:c r="F106" s="10">
        <x:f>SUM(F102:F105)</x:f>
        <x:v>35105000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>
        <x:v>300000</x:v>
      </x:c>
      <x:c r="E107" s="4">
        <x:f>+D107*0.1</x:f>
        <x:v>30000</x:v>
      </x:c>
      <x:c r="F107" s="5">
        <x:f>+D107+E107</x:f>
        <x:v>330000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1089</x:v>
      </x:c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 t="s">
        <x:v>708</x:v>
      </x:c>
      <x:c r="C109" s="3" t="s">
        <x:v>948</x:v>
      </x:c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300000</x:v>
      </x:c>
      <x:c r="E111" s="9">
        <x:f>SUM(E107:E110)</x:f>
        <x:v>30000</x:v>
      </x:c>
      <x:c r="F111" s="10">
        <x:f>SUM(F107:F110)</x:f>
        <x:v>330000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595370</x:v>
      </x:c>
      <x:c r="E112" s="4"/>
      <x:c r="F112" s="5">
        <x:f>+D112+E112</x:f>
        <x:v>595370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1779</x:v>
      </x:c>
      <x:c r="D113" s="4">
        <x:v>100000</x:v>
      </x:c>
      <x:c r="E113" s="4">
        <x:f>+D113*0.1</x:f>
        <x:v>10000</x:v>
      </x:c>
      <x:c r="F113" s="5">
        <x:f>+D113+E113</x:f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>+D114+E114</x:f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1200000</x:v>
      </x:c>
      <x:c r="E115" s="4">
        <x:f>+D115*0.1</x:f>
        <x:v>120000</x:v>
      </x:c>
      <x:c r="F115" s="5">
        <x:f>+D115+E115</x:f>
        <x:v>1320000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105000</x:v>
      </x:c>
      <x:c r="E116" s="4">
        <x:f>+D116*0.1</x:f>
        <x:v>10500</x:v>
      </x:c>
      <x:c r="F116" s="5">
        <x:f>+D116+E116</x:f>
        <x:v>115500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/>
      <x:c r="C117" s="3"/>
      <x:c r="D117" s="4" t="s">
        <x:v>222</x:v>
      </x:c>
      <x:c r="E117" s="4"/>
      <x:c r="F117" s="5"/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2080370</x:v>
      </x:c>
      <x:c r="E122" s="9">
        <x:f>SUM(E112:E121)</x:f>
        <x:v>148500</x:v>
      </x:c>
      <x:c r="F122" s="10">
        <x:f>SUM(F112:F121)</x:f>
        <x:v>2228870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53044080</x:v>
      </x:c>
      <x:c r="E123" s="14">
        <x:f>+E101+E106+E111+E122</x:f>
        <x:v>1734371</x:v>
      </x:c>
      <x:c r="F123" s="15">
        <x:f>+F101+F106+F111+F122</x:f>
        <x:v>54778451</x:v>
      </x:c>
      <x:c r="G123" s="16"/>
      <x:c r="H123" s="12"/>
      <x:c r="I123" s="13"/>
      <x:c r="J123" s="13"/>
      <x:c r="K123" s="14">
        <x:f>+K101+K106+K111+K122</x:f>
        <x:v>235384</x:v>
      </x:c>
      <x:c r="L123" s="14">
        <x:f>+L101+L106+L111+L122</x:f>
        <x:v>23538.400000000001</x:v>
      </x:c>
      <x:c r="M123" s="15">
        <x:f>+M101+M106+M111+M122</x:f>
        <x:v>258922.39999999999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22296390</x:v>
      </x:c>
      <x:c r="E124" s="25">
        <x:f>+E85-E123</x:f>
        <x:v>-1074841</x:v>
      </x:c>
      <x:c r="F124" s="26">
        <x:f>+F85-F123</x:f>
        <x:v>21221549</x:v>
      </x:c>
      <x:c r="G124" s="27"/>
      <x:c r="H124" s="23"/>
      <x:c r="I124" s="24"/>
      <x:c r="J124" s="24"/>
      <x:c r="K124" s="25">
        <x:f>+K85-K123</x:f>
        <x:v>491889</x:v>
      </x:c>
      <x:c r="L124" s="25">
        <x:f>+L85-L123</x:f>
        <x:v>49188.599999999999</x:v>
      </x:c>
      <x:c r="M124" s="26">
        <x:f>+M85-M123</x:f>
        <x:v>541077.59999999998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04" t="s">
        <x:v>144</x:v>
      </x:c>
      <x:c r="C126" s="104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04" t="s">
        <x:v>144</x:v>
      </x:c>
      <x:c r="J126" s="104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03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21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21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2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21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2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21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2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21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2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21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2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3">+INT(D133*0.1)</x:f>
        <x:v>0</x:v>
      </x:c>
      <x:c r="F133" s="5">
        <x:f t="shared" si="21"/>
        <x:v>0</x:v>
      </x:c>
      <x:c r="G133" s="6"/>
      <x:c r="H133" s="299"/>
      <x:c r="I133" s="3"/>
      <x:c r="J133" s="3"/>
      <x:c r="K133" s="4"/>
      <x:c r="L133" s="4">
        <x:f t="shared" ref="L133:L142" si="24">+K133*0.1</x:f>
        <x:v>0</x:v>
      </x:c>
      <x:c r="M133" s="5">
        <x:f t="shared" si="22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3"/>
        <x:v>0</x:v>
      </x:c>
      <x:c r="F134" s="5">
        <x:f t="shared" si="21"/>
        <x:v>0</x:v>
      </x:c>
      <x:c r="G134" s="6"/>
      <x:c r="H134" s="299"/>
      <x:c r="I134" s="3"/>
      <x:c r="J134" s="3"/>
      <x:c r="K134" s="4"/>
      <x:c r="L134" s="4">
        <x:f t="shared" si="24"/>
        <x:v>0</x:v>
      </x:c>
      <x:c r="M134" s="5">
        <x:f t="shared" si="22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3"/>
        <x:v>0</x:v>
      </x:c>
      <x:c r="F135" s="5">
        <x:f t="shared" si="21"/>
        <x:v>0</x:v>
      </x:c>
      <x:c r="G135" s="6"/>
      <x:c r="H135" s="299"/>
      <x:c r="I135" s="3"/>
      <x:c r="J135" s="3"/>
      <x:c r="K135" s="4"/>
      <x:c r="L135" s="4">
        <x:f t="shared" si="24"/>
        <x:v>0</x:v>
      </x:c>
      <x:c r="M135" s="5">
        <x:f t="shared" si="22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3"/>
        <x:v>0</x:v>
      </x:c>
      <x:c r="F136" s="5">
        <x:f t="shared" si="21"/>
        <x:v>0</x:v>
      </x:c>
      <x:c r="G136" s="6"/>
      <x:c r="H136" s="299"/>
      <x:c r="I136" s="3"/>
      <x:c r="J136" s="3"/>
      <x:c r="K136" s="4"/>
      <x:c r="L136" s="4">
        <x:f t="shared" si="24"/>
        <x:v>0</x:v>
      </x:c>
      <x:c r="M136" s="5">
        <x:f t="shared" si="22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3"/>
        <x:v>0</x:v>
      </x:c>
      <x:c r="F137" s="5">
        <x:f t="shared" si="21"/>
        <x:v>0</x:v>
      </x:c>
      <x:c r="G137" s="6"/>
      <x:c r="H137" s="299"/>
      <x:c r="I137" s="3"/>
      <x:c r="J137" s="3"/>
      <x:c r="K137" s="4"/>
      <x:c r="L137" s="4">
        <x:f t="shared" si="24"/>
        <x:v>0</x:v>
      </x:c>
      <x:c r="M137" s="5">
        <x:f t="shared" si="22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3"/>
        <x:v>0</x:v>
      </x:c>
      <x:c r="F138" s="5">
        <x:f t="shared" si="21"/>
        <x:v>0</x:v>
      </x:c>
      <x:c r="G138" s="6"/>
      <x:c r="H138" s="299"/>
      <x:c r="I138" s="3"/>
      <x:c r="J138" s="3"/>
      <x:c r="K138" s="4"/>
      <x:c r="L138" s="4">
        <x:f t="shared" si="24"/>
        <x:v>0</x:v>
      </x:c>
      <x:c r="M138" s="5">
        <x:f t="shared" si="22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3"/>
        <x:v>0</x:v>
      </x:c>
      <x:c r="F139" s="5">
        <x:f t="shared" si="21"/>
        <x:v>0</x:v>
      </x:c>
      <x:c r="G139" s="6"/>
      <x:c r="H139" s="299"/>
      <x:c r="I139" s="3"/>
      <x:c r="J139" s="3"/>
      <x:c r="K139" s="4"/>
      <x:c r="L139" s="4">
        <x:f t="shared" si="24"/>
        <x:v>0</x:v>
      </x:c>
      <x:c r="M139" s="5">
        <x:f t="shared" si="22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3"/>
        <x:v>0</x:v>
      </x:c>
      <x:c r="F140" s="5">
        <x:f t="shared" si="21"/>
        <x:v>0</x:v>
      </x:c>
      <x:c r="G140" s="6"/>
      <x:c r="H140" s="299"/>
      <x:c r="I140" s="3"/>
      <x:c r="J140" s="3"/>
      <x:c r="K140" s="4"/>
      <x:c r="L140" s="4">
        <x:f t="shared" si="24"/>
        <x:v>0</x:v>
      </x:c>
      <x:c r="M140" s="5">
        <x:f t="shared" si="22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3"/>
        <x:v>0</x:v>
      </x:c>
      <x:c r="F141" s="5">
        <x:f t="shared" si="21"/>
        <x:v>0</x:v>
      </x:c>
      <x:c r="G141" s="6"/>
      <x:c r="H141" s="299"/>
      <x:c r="I141" s="3"/>
      <x:c r="J141" s="3"/>
      <x:c r="K141" s="4"/>
      <x:c r="L141" s="4">
        <x:f t="shared" si="24"/>
        <x:v>0</x:v>
      </x:c>
      <x:c r="M141" s="5">
        <x:f t="shared" si="22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4"/>
        <x:v>0</x:v>
      </x:c>
      <x:c r="M142" s="5">
        <x:f t="shared" si="22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5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5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5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6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5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6"/>
        <x:v>0</x:v>
      </x:c>
      <x:c r="G158" s="6"/>
      <x:c r="H158" s="299"/>
      <x:c r="I158" s="3"/>
      <x:c r="J158" s="3"/>
      <x:c r="K158" s="4"/>
      <x:c r="L158" s="4">
        <x:f t="shared" ref="L158:L163" si="27">+K158*0.1</x:f>
        <x:v>0</x:v>
      </x:c>
      <x:c r="M158" s="5">
        <x:f t="shared" si="25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6"/>
        <x:v>0</x:v>
      </x:c>
      <x:c r="G159" s="6"/>
      <x:c r="H159" s="299"/>
      <x:c r="I159" s="3"/>
      <x:c r="J159" s="3"/>
      <x:c r="K159" s="4"/>
      <x:c r="L159" s="4">
        <x:f t="shared" si="27"/>
        <x:v>0</x:v>
      </x:c>
      <x:c r="M159" s="5">
        <x:f t="shared" si="25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6"/>
        <x:v>0</x:v>
      </x:c>
      <x:c r="G160" s="6"/>
      <x:c r="H160" s="299"/>
      <x:c r="I160" s="3"/>
      <x:c r="J160" s="3"/>
      <x:c r="K160" s="4"/>
      <x:c r="L160" s="4">
        <x:f t="shared" si="27"/>
        <x:v>0</x:v>
      </x:c>
      <x:c r="M160" s="5">
        <x:f t="shared" si="25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6"/>
        <x:v>0</x:v>
      </x:c>
      <x:c r="G161" s="6"/>
      <x:c r="H161" s="299"/>
      <x:c r="I161" s="3"/>
      <x:c r="J161" s="3"/>
      <x:c r="K161" s="4"/>
      <x:c r="L161" s="4">
        <x:f t="shared" si="27"/>
        <x:v>0</x:v>
      </x:c>
      <x:c r="M161" s="5">
        <x:f t="shared" si="25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6"/>
        <x:v>0</x:v>
      </x:c>
      <x:c r="G162" s="6"/>
      <x:c r="H162" s="299"/>
      <x:c r="I162" s="3"/>
      <x:c r="J162" s="3"/>
      <x:c r="K162" s="4"/>
      <x:c r="L162" s="4">
        <x:f t="shared" si="27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6"/>
        <x:v>0</x:v>
      </x:c>
      <x:c r="G163" s="6"/>
      <x:c r="H163" s="300"/>
      <x:c r="I163" s="3"/>
      <x:c r="J163" s="3"/>
      <x:c r="K163" s="4"/>
      <x:c r="L163" s="4">
        <x:f t="shared" si="27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114641210</x:v>
      </x:c>
      <x:c r="E169" s="2">
        <x:f>+E17+E59+E101+E143</x:f>
        <x:v>11464120.199999999</x:v>
      </x:c>
      <x:c r="F169" s="2">
        <x:f>+F17+F59+F101+F143</x:f>
        <x:v>126105330.2</x:v>
      </x:c>
      <x:c r="K169" s="2">
        <x:f>+K17+K59+K101+K143</x:f>
        <x:v>16396680</x:v>
      </x:c>
      <x:c r="L169" s="2">
        <x:f>+L17+L59+L101+L143</x:f>
        <x:v>1639667</x:v>
      </x:c>
      <x:c r="M169" s="2">
        <x:f>+M17+M59+M101+M143</x:f>
        <x:v>18036347</x:v>
      </x:c>
    </x:row>
    <x:row r="170" spans="1:13">
      <x:c r="A170" s="1" t="s">
        <x:v>153</x:v>
      </x:c>
      <x:c r="D170" s="2">
        <x:f>+D22+D64+D106+D148</x:f>
        <x:v>115610000</x:v>
      </x:c>
      <x:c r="E170" s="2">
        <x:f>+E22+E64+E106+E148</x:f>
        <x:v>0</x:v>
      </x:c>
      <x:c r="F170" s="2">
        <x:f>+F22+F64+F106+F148</x:f>
        <x:v>115610000</x:v>
      </x:c>
      <x:c r="K170" s="2">
        <x:f>+K22+K64+K106+K148</x:f>
        <x:v>62886000</x:v>
      </x:c>
      <x:c r="L170" s="2">
        <x:f>+L22+L64+L106+L148</x:f>
        <x:v>499600</x:v>
      </x:c>
      <x:c r="M170" s="2">
        <x:f>+M22+M64+M106+M148</x:f>
        <x:v>63385600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5290000</x:v>
      </x:c>
      <x:c r="E171" s="2">
        <x:f>+E27+E69+E111+E153</x:f>
        <x:v>529000</x:v>
      </x:c>
      <x:c r="F171" s="2">
        <x:f>+F27+F69+F111+F153</x:f>
        <x:v>5819000</x:v>
      </x:c>
      <x:c r="H171" s="1"/>
      <x:c r="I171" s="1"/>
      <x:c r="J171" s="1"/>
      <x:c r="K171" s="2">
        <x:f>+K27+K69+K111+K153</x:f>
        <x:v>460000</x:v>
      </x:c>
      <x:c r="L171" s="2">
        <x:f>+L27+L69+L111+L153</x:f>
        <x:v>46000</x:v>
      </x:c>
      <x:c r="M171" s="2">
        <x:f>+M27+M69+M111+M153</x:f>
        <x:v>506000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10160436</x:v>
      </x:c>
      <x:c r="E172" s="2">
        <x:f>+E38+E80+E122+E164</x:f>
        <x:v>708653.59999999998</x:v>
      </x:c>
      <x:c r="F172" s="2">
        <x:f>+F38+F80+F122+F164</x:f>
        <x:v>10869089.6</x:v>
      </x:c>
      <x:c r="H172" s="1"/>
      <x:c r="I172" s="1"/>
      <x:c r="J172" s="1"/>
      <x:c r="K172" s="2">
        <x:f>+K38+K80+K122+K164</x:f>
        <x:v>5210317</x:v>
      </x:c>
      <x:c r="L172" s="2">
        <x:f>+L38+L80+L122+L164</x:f>
        <x:v>289872.70000000001</x:v>
      </x:c>
      <x:c r="M172" s="2">
        <x:f>+M38+M80+M122+M164</x:f>
        <x:v>5500189.7000000002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245701646</x:v>
      </x:c>
      <x:c r="E173" s="2">
        <x:f>SUM(E169:E172)</x:f>
        <x:v>12701773.799999999</x:v>
      </x:c>
      <x:c r="F173" s="2">
        <x:f>SUM(F169:F172)</x:f>
        <x:v>258403419.79999998</x:v>
      </x:c>
      <x:c r="H173" s="1"/>
      <x:c r="I173" s="1"/>
      <x:c r="J173" s="1"/>
      <x:c r="K173" s="2">
        <x:f>SUM(K169:K172)</x:f>
        <x:v>84952997</x:v>
      </x:c>
      <x:c r="L173" s="2">
        <x:f>SUM(L169:L172)</x:f>
        <x:v>2475139.7000000002</x:v>
      </x:c>
      <x:c r="M173" s="2">
        <x:f>SUM(M169:M172)</x:f>
        <x:v>87428136.700000003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131037890</x:v>
      </x:c>
      <x:c r="E176" s="2">
        <x:f>+E169+L169</x:f>
        <x:v>13103787.199999999</x:v>
      </x:c>
      <x:c r="F176" s="2">
        <x:f>+F169+M169</x:f>
        <x:v>144141677.19999999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8">+D170+K170</x:f>
        <x:v>178496000</x:v>
      </x:c>
      <x:c r="E177" s="2">
        <x:f t="shared" si="28"/>
        <x:v>499600</x:v>
      </x:c>
      <x:c r="F177" s="2">
        <x:f t="shared" si="28"/>
        <x:v>178995600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8"/>
        <x:v>5750000</x:v>
      </x:c>
      <x:c r="E178" s="2">
        <x:f t="shared" si="28"/>
        <x:v>575000</x:v>
      </x:c>
      <x:c r="F178" s="2">
        <x:f t="shared" si="28"/>
        <x:v>6325000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8"/>
        <x:v>15370753</x:v>
      </x:c>
      <x:c r="E179" s="2">
        <x:f t="shared" si="28"/>
        <x:v>998526.30000000005</x:v>
      </x:c>
      <x:c r="F179" s="2">
        <x:f t="shared" si="28"/>
        <x:v>16369279.300000001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330654643</x:v>
      </x:c>
      <x:c r="E180" s="2">
        <x:f>SUM(E176:E179)</x:f>
        <x:v>15176913.5</x:v>
      </x:c>
      <x:c r="F180" s="2">
        <x:f>SUM(F176:F179)</x:f>
        <x:v>345831556.5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407175959</x:v>
      </x:c>
      <x:c r="E181" s="2">
        <x:f>E4+E43+E85+L4+L43+L85</x:f>
        <x:v>7224041</x:v>
      </x:c>
      <x:c r="F181" s="2">
        <x:f>F4+F43+F85+M4+M43+M85</x:f>
        <x:v>414400000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76521316</x:v>
      </x:c>
      <x:c r="E182" s="2">
        <x:f>+E181-E180</x:f>
        <x:v>-7952872.5</x:v>
      </x:c>
      <x:c r="F182" s="2">
        <x:f>+F181-F180</x:f>
        <x:v>68568443.5</x:v>
      </x:c>
      <x:c r="H182" s="1"/>
      <x:c r="I182" s="1"/>
      <x:c r="J182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R23"/>
  <x:sheetViews>
    <x:sheetView view="pageBreakPreview" topLeftCell="A1" zoomScaleNormal="100" zoomScaleSheetLayoutView="100" workbookViewId="0">
      <x:selection activeCell="F9" activeCellId="0" sqref="F9:F9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1757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105"/>
      <x:c r="C2" s="105"/>
      <x:c r="D2" s="105"/>
      <x:c r="E2" s="105"/>
      <x:c r="F2" s="105"/>
      <x:c r="G2" s="105"/>
      <x:c r="H2" s="105"/>
      <x:c r="I2" s="105"/>
      <x:c r="J2" s="105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395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107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'20년05월(세부내역)'!D4</x:f>
        <x:v>96873000</x:v>
      </x:c>
      <x:c r="E5" s="67">
        <x:f>'20년05월(세부내역)'!D17</x:f>
        <x:v>31221780</x:v>
      </x:c>
      <x:c r="F5" s="67">
        <x:f>'20년05월(세부내역)'!D22</x:f>
        <x:v>49270000</x:v>
      </x:c>
      <x:c r="G5" s="67">
        <x:f>'20년05월(세부내역)'!D27</x:f>
        <x:v>5220000</x:v>
      </x:c>
      <x:c r="H5" s="67">
        <x:f>'20년05월(세부내역)'!D38</x:f>
        <x:v>5803346</x:v>
      </x:c>
      <x:c r="I5" s="75">
        <x:f>+SUM(E5:H5)</x:f>
        <x:v>91515126</x:v>
      </x:c>
      <x:c r="J5" s="9">
        <x:f>D5-I5</x:f>
        <x:v>5357874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'20년05월(세부내역)'!K4</x:f>
        <x:v>71836000</x:v>
      </x:c>
      <x:c r="E6" s="59">
        <x:f>+'20년05월(세부내역)'!K17</x:f>
        <x:v>19142220</x:v>
      </x:c>
      <x:c r="F6" s="59">
        <x:f>'20년05월(세부내역)'!K22</x:f>
        <x:v>36935600</x:v>
      </x:c>
      <x:c r="G6" s="59">
        <x:f>'20년05월(세부내역)'!K27</x:f>
        <x:v>0</x:v>
      </x:c>
      <x:c r="H6" s="59">
        <x:f>'20년05월(세부내역)'!K38</x:f>
        <x:v>2298122</x:v>
      </x:c>
      <x:c r="I6" s="75">
        <x:f>+SUM(E6:H6)</x:f>
        <x:v>58375942</x:v>
      </x:c>
      <x:c r="J6" s="9">
        <x:f>D6-I6</x:f>
        <x:v>13460058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'20년05월(세부내역)'!D43</x:f>
        <x:v>119187070</x:v>
      </x:c>
      <x:c r="E7" s="59">
        <x:f>+'20년05월(세부내역)'!D59</x:f>
        <x:v>51588556</x:v>
      </x:c>
      <x:c r="F7" s="59">
        <x:f>'20년05월(세부내역)'!D64</x:f>
        <x:v>43680000</x:v>
      </x:c>
      <x:c r="G7" s="59">
        <x:f>'20년05월(세부내역)'!D69</x:f>
        <x:v>300000</x:v>
      </x:c>
      <x:c r="H7" s="59">
        <x:f>'20년05월(세부내역)'!D80</x:f>
        <x:v>-1799600</x:v>
      </x:c>
      <x:c r="I7" s="75">
        <x:f>+SUM(E7:H7)</x:f>
        <x:v>93768956</x:v>
      </x:c>
      <x:c r="J7" s="80">
        <x:f>D7-I7</x:f>
        <x:v>25418114</x:v>
      </x:c>
      <x:c r="K7" s="59"/>
    </x:row>
    <x:row r="8" spans="1:11" ht="30" customHeight="1">
      <x:c r="A8" s="63">
        <x:v>4</x:v>
      </x:c>
      <x:c r="B8" s="63" t="s">
        <x:v>1021</x:v>
      </x:c>
      <x:c r="C8" s="58" t="s">
        <x:v>1065</x:v>
      </x:c>
      <x:c r="D8" s="74">
        <x:f>'20년05월(세부내역)'!K43</x:f>
        <x:v>68274178</x:v>
      </x:c>
      <x:c r="E8" s="59">
        <x:f>'20년05월(세부내역)'!K59</x:f>
        <x:v>23492850</x:v>
      </x:c>
      <x:c r="F8" s="59">
        <x:f>'20년05월(세부내역)'!K64</x:f>
        <x:v>34670000</x:v>
      </x:c>
      <x:c r="G8" s="59">
        <x:f>'20년05월(세부내역)'!K69</x:f>
        <x:v>600000</x:v>
      </x:c>
      <x:c r="H8" s="59">
        <x:f>'20년05월(세부내역)'!K80</x:f>
        <x:v>3007400</x:v>
      </x:c>
      <x:c r="I8" s="75">
        <x:f>+SUM(E8:H8)</x:f>
        <x:v>61770250</x:v>
      </x:c>
      <x:c r="J8" s="9">
        <x:f>D8-I8</x:f>
        <x:v>6503928</x:v>
      </x:c>
      <x:c r="K8" s="59"/>
    </x:row>
    <x:row r="9" spans="1:11" ht="30" customHeight="1">
      <x:c r="A9" s="63">
        <x:v>5</x:v>
      </x:c>
      <x:c r="B9" s="63" t="s">
        <x:v>1025</x:v>
      </x:c>
      <x:c r="C9" s="58" t="s">
        <x:v>1065</x:v>
      </x:c>
      <x:c r="D9" s="74">
        <x:f>'20년05월(세부내역)'!D85</x:f>
        <x:v>69392538</x:v>
      </x:c>
      <x:c r="E9" s="59">
        <x:f>'20년05월(세부내역)'!D101</x:f>
        <x:v>27437650</x:v>
      </x:c>
      <x:c r="F9" s="59">
        <x:f>'20년05월(세부내역)'!D106</x:f>
        <x:v>35725000</x:v>
      </x:c>
      <x:c r="G9" s="59">
        <x:f>'20년05월(세부내역)'!D111</x:f>
        <x:v>420000</x:v>
      </x:c>
      <x:c r="H9" s="59">
        <x:f>'20년05월(세부내역)'!D122</x:f>
        <x:v>1674650</x:v>
      </x:c>
      <x:c r="I9" s="75">
        <x:f>+SUM(E9:H9)</x:f>
        <x:v>65257300</x:v>
      </x:c>
      <x:c r="J9" s="9">
        <x:f>D9-I9</x:f>
        <x:v>4135238</x:v>
      </x:c>
      <x:c r="K9" s="59"/>
    </x:row>
    <x:row r="10" spans="1:11" ht="30" customHeight="1">
      <x:c r="A10" s="64"/>
      <x:c r="B10" s="64" t="s">
        <x:v>1690</x:v>
      </x:c>
      <x:c r="C10" s="65"/>
      <x:c r="D10" s="68">
        <x:f t="shared" ref="D10:J10" si="0">SUM(D5:D9)</x:f>
        <x:v>425562786</x:v>
      </x:c>
      <x:c r="E10" s="66">
        <x:f t="shared" si="0"/>
        <x:v>152883056</x:v>
      </x:c>
      <x:c r="F10" s="66">
        <x:f t="shared" si="0"/>
        <x:v>200280600</x:v>
      </x:c>
      <x:c r="G10" s="66">
        <x:f t="shared" si="0"/>
        <x:v>6540000</x:v>
      </x:c>
      <x:c r="H10" s="66">
        <x:f t="shared" si="0"/>
        <x:v>10983918</x:v>
      </x:c>
      <x:c r="I10" s="69">
        <x:f t="shared" si="0"/>
        <x:v>370687574</x:v>
      </x:c>
      <x:c r="J10" s="66">
        <x:f t="shared" si="0"/>
        <x:v>54875212</x:v>
      </x:c>
      <x:c r="K10" s="66"/>
    </x:row>
    <x:row r="22" spans="1:18" s="2" customFormat="1">
      <x:c r="A22" s="1"/>
      <x:c r="B22" s="1"/>
      <x:c r="C22" s="1"/>
      <x:c r="D22" s="1">
        <x:v>240000</x:v>
      </x:c>
      <x:c r="I22" s="1"/>
      <x:c r="J22" s="1"/>
      <x:c r="L22" s="1"/>
      <x:c r="M22" s="1"/>
      <x:c r="N22" s="1"/>
      <x:c r="O22" s="1"/>
      <x:c r="P22" s="1"/>
      <x:c r="Q22" s="1"/>
      <x:c r="R22" s="1"/>
    </x:row>
    <x:row r="23" spans="4:4">
      <x:c r="D23" s="1">
        <x:v>120000</x:v>
      </x:c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N182"/>
  <x:sheetViews>
    <x:sheetView view="pageBreakPreview" topLeftCell="A16" zoomScaleNormal="100" zoomScaleSheetLayoutView="100" workbookViewId="0">
      <x:selection activeCell="D31" activeCellId="0" sqref="D31:D3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1759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07" t="s">
        <x:v>144</x:v>
      </x:c>
      <x:c r="C3" s="107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07" t="s">
        <x:v>144</x:v>
      </x:c>
      <x:c r="J3" s="107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96873000</x:v>
      </x:c>
      <x:c r="E4" s="39">
        <x:v>3127000</x:v>
      </x:c>
      <x:c r="F4" s="40">
        <x:f>+D4+E4</x:f>
        <x:v>100000000</x:v>
      </x:c>
      <x:c r="G4" s="42"/>
      <x:c r="H4" s="106" t="s">
        <x:v>151</x:v>
      </x:c>
      <x:c r="I4" s="38" t="s">
        <x:v>1679</x:v>
      </x:c>
      <x:c r="J4" s="38" t="s">
        <x:v>1030</x:v>
      </x:c>
      <x:c r="K4" s="39">
        <x:v>71836000</x:v>
      </x:c>
      <x:c r="L4" s="39">
        <x:v>164000</x:v>
      </x:c>
      <x:c r="M4" s="40">
        <x:f>+K4+L4</x:f>
        <x:v>72000000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/>
      <x:c r="D5" s="20"/>
      <x:c r="E5" s="20">
        <x:f>+D5*0.1</x:f>
        <x:v>0</x:v>
      </x:c>
      <x:c r="F5" s="21">
        <x:f>+D5+E5</x:f>
        <x:v>0</x:v>
      </x:c>
      <x:c r="G5" s="22"/>
      <x:c r="H5" s="298" t="s">
        <x:v>148</x:v>
      </x:c>
      <x:c r="I5" s="19" t="s">
        <x:v>838</x:v>
      </x:c>
      <x:c r="J5" s="19" t="s">
        <x:v>1189</x:v>
      </x:c>
      <x:c r="K5" s="20">
        <x:v>6081020</x:v>
      </x:c>
      <x:c r="L5" s="20">
        <x:f>K5*0.1</x:f>
        <x:v>608102</x:v>
      </x:c>
      <x:c r="M5" s="21">
        <x:f t="shared" ref="M5:M21" si="0">+K5+L5</x:f>
        <x:v>6689122</x:v>
      </x:c>
      <x:c r="N5" s="22"/>
    </x:row>
    <x:row r="6" spans="1:14" ht="20.100000000000001" customHeight="1">
      <x:c r="A6" s="299"/>
      <x:c r="B6" s="3" t="s">
        <x:v>867</x:v>
      </x:c>
      <x:c r="C6" s="3" t="s">
        <x:v>369</x:v>
      </x:c>
      <x:c r="D6" s="4">
        <x:v>842880</x:v>
      </x:c>
      <x:c r="E6" s="4">
        <x:f t="shared" ref="E6:E16" si="1">+D6*0.1</x:f>
        <x:v>84288</x:v>
      </x:c>
      <x:c r="F6" s="5">
        <x:f>+D6+E6</x:f>
        <x:v>927168</x:v>
      </x:c>
      <x:c r="G6" s="6"/>
      <x:c r="H6" s="299"/>
      <x:c r="I6" s="3" t="s">
        <x:v>867</x:v>
      </x:c>
      <x:c r="J6" s="3" t="s">
        <x:v>384</x:v>
      </x:c>
      <x:c r="K6" s="4">
        <x:v>6939000</x:v>
      </x:c>
      <x:c r="L6" s="4">
        <x:f t="shared" ref="L6:L16" si="2">K6*0.1</x:f>
        <x:v>693900</x:v>
      </x:c>
      <x:c r="M6" s="5">
        <x:f t="shared" si="0"/>
        <x:v>7632900</x:v>
      </x:c>
      <x:c r="N6" s="6"/>
    </x:row>
    <x:row r="7" spans="1:14" ht="20.100000000000001" customHeight="1">
      <x:c r="A7" s="299"/>
      <x:c r="B7" s="3" t="s">
        <x:v>1150</x:v>
      </x:c>
      <x:c r="C7" s="3"/>
      <x:c r="D7" s="4"/>
      <x:c r="E7" s="4">
        <x:f t="shared" si="1"/>
        <x:v>0</x:v>
      </x:c>
      <x:c r="F7" s="5">
        <x:f>+D7+E7</x:f>
        <x:v>0</x:v>
      </x:c>
      <x:c r="G7" s="6"/>
      <x:c r="H7" s="299"/>
      <x:c r="I7" s="3" t="s">
        <x:v>1119</x:v>
      </x:c>
      <x:c r="J7" s="3" t="s">
        <x:v>719</x:v>
      </x:c>
      <x:c r="K7" s="4">
        <x:v>2811000</x:v>
      </x:c>
      <x:c r="L7" s="4">
        <x:f>K7*0.1</x:f>
        <x:v>281100</x:v>
      </x:c>
      <x:c r="M7" s="5">
        <x:f t="shared" si="0"/>
        <x:v>3092100</x:v>
      </x:c>
      <x:c r="N7" s="6"/>
    </x:row>
    <x:row r="8" spans="1:14" ht="20.100000000000001" customHeight="1">
      <x:c r="A8" s="299"/>
      <x:c r="B8" s="3" t="s">
        <x:v>840</x:v>
      </x:c>
      <x:c r="C8" s="3" t="s">
        <x:v>714</x:v>
      </x:c>
      <x:c r="D8" s="4">
        <x:v>335000</x:v>
      </x:c>
      <x:c r="E8" s="4">
        <x:f t="shared" si="1"/>
        <x:v>33500</x:v>
      </x:c>
      <x:c r="F8" s="5">
        <x:f t="shared" ref="F8:F16" si="3">+D8+E8</x:f>
        <x:v>368500</x:v>
      </x:c>
      <x:c r="G8" s="6"/>
      <x:c r="H8" s="299"/>
      <x:c r="I8" s="3" t="s">
        <x:v>976</x:v>
      </x:c>
      <x:c r="J8" s="3" t="s">
        <x:v>706</x:v>
      </x:c>
      <x:c r="K8" s="4">
        <x:v>300000</x:v>
      </x:c>
      <x:c r="L8" s="4">
        <x:f t="shared" si="2"/>
        <x:v>30000</x:v>
      </x:c>
      <x:c r="M8" s="5">
        <x:f t="shared" si="0"/>
        <x:v>330000</x:v>
      </x:c>
      <x:c r="N8" s="6"/>
    </x:row>
    <x:row r="9" spans="1:14" ht="20.100000000000001" customHeight="1">
      <x:c r="A9" s="299"/>
      <x:c r="B9" s="3" t="s">
        <x:v>854</x:v>
      </x:c>
      <x:c r="C9" s="3" t="s">
        <x:v>379</x:v>
      </x:c>
      <x:c r="D9" s="4">
        <x:v>24660830</x:v>
      </x:c>
      <x:c r="E9" s="4">
        <x:f t="shared" si="1"/>
        <x:v>2466083</x:v>
      </x:c>
      <x:c r="F9" s="5">
        <x:f t="shared" si="3"/>
        <x:v>27126913</x:v>
      </x:c>
      <x:c r="G9" s="6"/>
      <x:c r="H9" s="299"/>
      <x:c r="I9" s="3" t="s">
        <x:v>840</x:v>
      </x:c>
      <x:c r="J9" s="3" t="s">
        <x:v>342</x:v>
      </x:c>
      <x:c r="K9" s="4">
        <x:v>168000</x:v>
      </x:c>
      <x:c r="L9" s="4">
        <x:f t="shared" si="2"/>
        <x:v>16800</x:v>
      </x:c>
      <x:c r="M9" s="5">
        <x:f t="shared" si="0"/>
        <x:v>184800</x:v>
      </x:c>
      <x:c r="N9" s="6"/>
    </x:row>
    <x:row r="10" spans="1:14" ht="20.100000000000001" customHeight="1">
      <x:c r="A10" s="299"/>
      <x:c r="B10" s="3" t="s">
        <x:v>895</x:v>
      </x:c>
      <x:c r="C10" s="3"/>
      <x:c r="D10" s="4"/>
      <x:c r="E10" s="4">
        <x:f t="shared" si="1"/>
        <x:v>0</x:v>
      </x:c>
      <x:c r="F10" s="5">
        <x:f t="shared" si="3"/>
        <x:v>0</x:v>
      </x:c>
      <x:c r="G10" s="6"/>
      <x:c r="H10" s="299"/>
      <x:c r="I10" s="3" t="s">
        <x:v>967</x:v>
      </x:c>
      <x:c r="J10" s="3" t="s">
        <x:v>1123</x:v>
      </x:c>
      <x:c r="K10" s="4">
        <x:v>425000</x:v>
      </x:c>
      <x:c r="L10" s="4">
        <x:f t="shared" si="2"/>
        <x:v>42500</x:v>
      </x:c>
      <x:c r="M10" s="5">
        <x:f t="shared" si="0"/>
        <x:v>467500</x:v>
      </x:c>
      <x:c r="N10" s="6"/>
    </x:row>
    <x:row r="11" spans="1:14" ht="20.100000000000001" customHeight="1">
      <x:c r="A11" s="299"/>
      <x:c r="B11" s="3" t="s">
        <x:v>864</x:v>
      </x:c>
      <x:c r="C11" s="3" t="s">
        <x:v>722</x:v>
      </x:c>
      <x:c r="D11" s="4">
        <x:v>1857270</x:v>
      </x:c>
      <x:c r="E11" s="4">
        <x:f t="shared" si="1"/>
        <x:v>185727</x:v>
      </x:c>
      <x:c r="F11" s="5">
        <x:f t="shared" si="3"/>
        <x:v>2042997</x:v>
      </x:c>
      <x:c r="G11" s="6"/>
      <x:c r="H11" s="299"/>
      <x:c r="I11" s="3" t="s">
        <x:v>846</x:v>
      </x:c>
      <x:c r="J11" s="3" t="s">
        <x:v>1191</x:v>
      </x:c>
      <x:c r="K11" s="4">
        <x:v>471700</x:v>
      </x:c>
      <x:c r="L11" s="4">
        <x:f t="shared" si="2"/>
        <x:v>47170</x:v>
      </x:c>
      <x:c r="M11" s="5">
        <x:f t="shared" si="0"/>
        <x:v>518870</x:v>
      </x:c>
      <x:c r="N11" s="6"/>
    </x:row>
    <x:row r="12" spans="1:14" ht="20.100000000000001" customHeight="1">
      <x:c r="A12" s="299"/>
      <x:c r="B12" s="3" t="s">
        <x:v>846</x:v>
      </x:c>
      <x:c r="C12" s="3" t="s">
        <x:v>1178</x:v>
      </x:c>
      <x:c r="D12" s="4">
        <x:v>1230800</x:v>
      </x:c>
      <x:c r="E12" s="4">
        <x:f>+D12*0.1</x:f>
        <x:v>123080</x:v>
      </x:c>
      <x:c r="F12" s="5">
        <x:f>+D12+E12</x:f>
        <x:v>1353880</x:v>
      </x:c>
      <x:c r="G12" s="6"/>
      <x:c r="H12" s="299"/>
      <x:c r="I12" s="3" t="s">
        <x:v>938</x:v>
      </x:c>
      <x:c r="J12" s="3" t="s">
        <x:v>1094</x:v>
      </x:c>
      <x:c r="K12" s="4">
        <x:v>744500</x:v>
      </x:c>
      <x:c r="L12" s="4">
        <x:f t="shared" si="2"/>
        <x:v>74450</x:v>
      </x:c>
      <x:c r="M12" s="5">
        <x:f t="shared" si="0"/>
        <x:v>818950</x:v>
      </x:c>
      <x:c r="N12" s="6"/>
    </x:row>
    <x:row r="13" spans="1:14" ht="20.100000000000001" customHeight="1">
      <x:c r="A13" s="299"/>
      <x:c r="B13" s="3" t="s">
        <x:v>1705</x:v>
      </x:c>
      <x:c r="C13" s="3"/>
      <x:c r="D13" s="4"/>
      <x:c r="E13" s="4">
        <x:f>+D13*0.1</x:f>
        <x:v>0</x:v>
      </x:c>
      <x:c r="F13" s="45">
        <x:f>+D13+E13</x:f>
        <x:v>0</x:v>
      </x:c>
      <x:c r="G13" s="6"/>
      <x:c r="H13" s="299"/>
      <x:c r="I13" s="3" t="s">
        <x:v>1705</x:v>
      </x:c>
      <x:c r="J13" s="3" t="s">
        <x:v>1157</x:v>
      </x:c>
      <x:c r="K13" s="4">
        <x:v>1202000</x:v>
      </x:c>
      <x:c r="L13" s="4">
        <x:f t="shared" si="2"/>
        <x:v>120200</x:v>
      </x:c>
      <x:c r="M13" s="5">
        <x:f t="shared" si="0"/>
        <x:v>1322200</x:v>
      </x:c>
      <x:c r="N13" s="6"/>
    </x:row>
    <x:row r="14" spans="1:14" ht="20.100000000000001" customHeight="1">
      <x:c r="A14" s="299"/>
      <x:c r="B14" s="3" t="s">
        <x:v>938</x:v>
      </x:c>
      <x:c r="C14" s="3" t="s">
        <x:v>953</x:v>
      </x:c>
      <x:c r="D14" s="4">
        <x:v>2295000</x:v>
      </x:c>
      <x:c r="E14" s="4">
        <x:f>+D14*0.1</x:f>
        <x:v>229500</x:v>
      </x:c>
      <x:c r="F14" s="45">
        <x:f>+D14+E14</x:f>
        <x:v>2524500</x:v>
      </x:c>
      <x:c r="G14" s="6"/>
      <x:c r="H14" s="299"/>
      <x:c r="I14" s="3"/>
      <x:c r="J14" s="3"/>
      <x:c r="K14" s="4"/>
      <x:c r="L14" s="4">
        <x:f>K14*0.1</x:f>
        <x:v>0</x:v>
      </x:c>
      <x:c r="M14" s="5">
        <x:f>+K14+L14</x:f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1"/>
        <x:v>0</x:v>
      </x:c>
      <x:c r="F15" s="45">
        <x:f t="shared" si="3"/>
        <x:v>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>+K15+L15</x:f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1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 t="shared" si="2"/>
        <x:v>0</x:v>
      </x:c>
      <x:c r="M16" s="5">
        <x:f t="shared" si="0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31221780</x:v>
      </x:c>
      <x:c r="E17" s="9">
        <x:f>SUM(E5:E16)</x:f>
        <x:v>3122178</x:v>
      </x:c>
      <x:c r="F17" s="10">
        <x:f>SUM(F5:F16)</x:f>
        <x:v>34343958</x:v>
      </x:c>
      <x:c r="G17" s="11"/>
      <x:c r="H17" s="7"/>
      <x:c r="I17" s="8"/>
      <x:c r="J17" s="8"/>
      <x:c r="K17" s="9">
        <x:f>SUM(K5:K16)</x:f>
        <x:v>19142220</x:v>
      </x:c>
      <x:c r="L17" s="9">
        <x:f>SUM(L5:L16)</x:f>
        <x:v>1914222</x:v>
      </x:c>
      <x:c r="M17" s="10">
        <x:f>SUM(M5:M16)</x:f>
        <x:v>21056442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49270000</x:v>
      </x:c>
      <x:c r="E18" s="44"/>
      <x:c r="F18" s="45">
        <x:f>+D18+E18</x:f>
        <x:v>49270000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13720000</x:v>
      </x:c>
      <x:c r="L18" s="4"/>
      <x:c r="M18" s="5">
        <x:f t="shared" si="0"/>
        <x:v>13720000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>+D19+E19</x:f>
        <x:v>0</x:v>
      </x:c>
      <x:c r="G19" s="37"/>
      <x:c r="H19" s="299"/>
      <x:c r="I19" s="3" t="s">
        <x:v>695</x:v>
      </x:c>
      <x:c r="J19" s="3" t="s">
        <x:v>1107</x:v>
      </x:c>
      <x:c r="K19" s="4">
        <x:v>14000000</x:v>
      </x:c>
      <x:c r="L19" s="4"/>
      <x:c r="M19" s="5">
        <x:f t="shared" si="0"/>
        <x:v>14000000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>
        <x:v>9215600</x:v>
      </x:c>
      <x:c r="L20" s="4">
        <x:f>+K20*0.1</x:f>
        <x:v>921560</x:v>
      </x:c>
      <x:c r="M20" s="5">
        <x:f t="shared" si="0"/>
        <x:v>10137160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0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49270000</x:v>
      </x:c>
      <x:c r="E22" s="9">
        <x:f>SUM(E18:E21)</x:f>
        <x:v>0</x:v>
      </x:c>
      <x:c r="F22" s="10">
        <x:f>SUM(F18:F21)</x:f>
        <x:v>49270000</x:v>
      </x:c>
      <x:c r="G22" s="11"/>
      <x:c r="H22" s="7"/>
      <x:c r="I22" s="8"/>
      <x:c r="J22" s="8"/>
      <x:c r="K22" s="9">
        <x:f>SUM(K18:K21)</x:f>
        <x:v>36935600</x:v>
      </x:c>
      <x:c r="L22" s="9">
        <x:f>SUM(L18:L21)</x:f>
        <x:v>921560</x:v>
      </x:c>
      <x:c r="M22" s="10">
        <x:f>SUM(M18:M21)</x:f>
        <x:v>37857160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120000</x:v>
      </x:c>
      <x:c r="E23" s="4">
        <x:f>+D23*0.1</x:f>
        <x:v>12000</x:v>
      </x:c>
      <x:c r="F23" s="5">
        <x:f>+D23+E23</x:f>
        <x:v>132000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 t="s">
        <x:v>250</x:v>
      </x:c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>
        <x:v>4500000</x:v>
      </x:c>
      <x:c r="E25" s="4">
        <x:f>+D25*0.1</x:f>
        <x:v>450000</x:v>
      </x:c>
      <x:c r="F25" s="5">
        <x:f>+D25+E25</x:f>
        <x:v>4950000</x:v>
      </x:c>
      <x:c r="G25" s="6" t="s">
        <x:v>223</x:v>
      </x:c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5220000</x:v>
      </x:c>
      <x:c r="E27" s="9">
        <x:f>SUM(E23:E26)</x:f>
        <x:v>522000</x:v>
      </x:c>
      <x:c r="F27" s="10">
        <x:f>SUM(F23:F26)</x:f>
        <x:v>5742000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1508800</x:v>
      </x:c>
      <x:c r="E28" s="44">
        <x:v>7000</x:v>
      </x:c>
      <x:c r="F28" s="5">
        <x:f>+D28+E28</x:f>
        <x:v>1515800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1110850</x:v>
      </x:c>
      <x:c r="L28" s="4">
        <x:v>7000</x:v>
      </x:c>
      <x:c r="M28" s="5">
        <x:f t="shared" ref="M28:M37" si="4">+K28+L28</x:f>
        <x:v>1117850</x:v>
      </x:c>
      <x:c r="N28" s="6"/>
    </x:row>
    <x:row r="29" spans="1:14" ht="20.100000000000001" customHeight="1">
      <x:c r="A29" s="299"/>
      <x:c r="B29" s="3" t="s">
        <x:v>952</x:v>
      </x:c>
      <x:c r="C29" s="3" t="s">
        <x:v>28</x:v>
      </x:c>
      <x:c r="D29" s="4">
        <x:v>1770000</x:v>
      </x:c>
      <x:c r="E29" s="4">
        <x:f>+D29*0.1</x:f>
        <x:v>177000</x:v>
      </x:c>
      <x:c r="F29" s="5">
        <x:f>+D29+E29</x:f>
        <x:v>1947000</x:v>
      </x:c>
      <x:c r="G29" s="6"/>
      <x:c r="H29" s="299"/>
      <x:c r="I29" s="3" t="s">
        <x:v>1091</x:v>
      </x:c>
      <x:c r="J29" s="3" t="s">
        <x:v>28</x:v>
      </x:c>
      <x:c r="K29" s="4">
        <x:v>387272</x:v>
      </x:c>
      <x:c r="L29" s="4">
        <x:f>+K29*0.1+1</x:f>
        <x:v>38728.200000000004</x:v>
      </x:c>
      <x:c r="M29" s="5">
        <x:f t="shared" si="4"/>
        <x:v>426000.20000000001</x:v>
      </x:c>
      <x:c r="N29" s="6"/>
    </x:row>
    <x:row r="30" spans="1:14" ht="20.100000000000001" customHeight="1">
      <x:c r="A30" s="299"/>
      <x:c r="B30" s="3" t="s">
        <x:v>959</x:v>
      </x:c>
      <x:c r="C30" s="3" t="s">
        <x:v>825</x:v>
      </x:c>
      <x:c r="D30" s="4">
        <x:v>1420000</x:v>
      </x:c>
      <x:c r="E30" s="4">
        <x:f>+D30*0.1</x:f>
        <x:v>142000</x:v>
      </x:c>
      <x:c r="F30" s="5">
        <x:f>+D30+E30</x:f>
        <x:v>1562000</x:v>
      </x:c>
      <x:c r="G30" s="6"/>
      <x:c r="H30" s="299"/>
      <x:c r="I30" s="3" t="s">
        <x:v>217</x:v>
      </x:c>
      <x:c r="J30" s="3" t="s">
        <x:v>941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186</x:v>
      </x:c>
      <x:c r="C31" s="3" t="s">
        <x:v>941</x:v>
      </x:c>
      <x:c r="D31" s="4">
        <x:v>550000</x:v>
      </x:c>
      <x:c r="E31" s="4"/>
      <x:c r="F31" s="5">
        <x:f>+D31+E31</x:f>
        <x:v>550000</x:v>
      </x:c>
      <x:c r="G31" s="6"/>
      <x:c r="H31" s="299"/>
      <x:c r="I31" s="3" t="s">
        <x:v>883</x:v>
      </x:c>
      <x:c r="J31" s="3" t="s">
        <x:v>1778</x:v>
      </x:c>
      <x:c r="K31" s="4">
        <x:v>200000</x:v>
      </x:c>
      <x:c r="L31" s="4">
        <x:f>K31*0.1</x:f>
        <x:v>20000</x:v>
      </x:c>
      <x:c r="M31" s="5">
        <x:f t="shared" si="4"/>
        <x:v>220000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130000</x:v>
      </x:c>
      <x:c r="E32" s="4">
        <x:f>+D32*0.1</x:f>
        <x:v>13000</x:v>
      </x:c>
      <x:c r="F32" s="5">
        <x:f t="shared" ref="F32:F37" si="5">+D32+E32</x:f>
        <x:v>143000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4"/>
        <x:v>110000</x:v>
      </x:c>
      <x:c r="N32" s="6"/>
    </x:row>
    <x:row r="33" spans="1:14" ht="20.100000000000001" customHeight="1">
      <x:c r="A33" s="299"/>
      <x:c r="B33" s="3" t="s">
        <x:v>1699</x:v>
      </x:c>
      <x:c r="C33" s="3" t="s">
        <x:v>167</x:v>
      </x:c>
      <x:c r="D33" s="4"/>
      <x:c r="E33" s="4">
        <x:f>+D33*0.1</x:f>
        <x:v>0</x:v>
      </x:c>
      <x:c r="F33" s="5">
        <x:f t="shared" si="5"/>
        <x:v>0</x:v>
      </x:c>
      <x:c r="G33" s="6"/>
      <x:c r="H33" s="299"/>
      <x:c r="I33" s="3" t="s">
        <x:v>1120</x:v>
      </x:c>
      <x:c r="J33" s="3" t="s">
        <x:v>167</x:v>
      </x:c>
      <x:c r="K33" s="4"/>
      <x:c r="L33" s="4"/>
      <x:c r="M33" s="5">
        <x:f t="shared" si="4"/>
        <x:v>0</x:v>
      </x:c>
      <x:c r="N33" s="6"/>
    </x:row>
    <x:row r="34" spans="1:14" ht="20.100000000000001" customHeight="1">
      <x:c r="A34" s="299"/>
      <x:c r="B34" s="3" t="s">
        <x:v>994</x:v>
      </x:c>
      <x:c r="C34" s="3" t="s">
        <x:v>8</x:v>
      </x:c>
      <x:c r="D34" s="4">
        <x:v>424546</x:v>
      </x:c>
      <x:c r="E34" s="4">
        <x:f>+D34*0.1-1</x:f>
        <x:v>42453.600000000006</x:v>
      </x:c>
      <x:c r="F34" s="5">
        <x:f t="shared" si="5"/>
        <x:v>466999.59999999998</x:v>
      </x:c>
      <x:c r="G34" s="6"/>
      <x:c r="H34" s="299"/>
      <x:c r="I34" s="3"/>
      <x:c r="J34" s="3"/>
      <x:c r="K34" s="4"/>
      <x:c r="L34" s="4"/>
      <x:c r="M34" s="5">
        <x:f t="shared" si="4"/>
        <x:v>0</x:v>
      </x:c>
      <x:c r="N34" s="6"/>
    </x:row>
    <x:row r="35" spans="1:14" ht="20.100000000000001" customHeight="1">
      <x:c r="A35" s="299"/>
      <x:c r="B35" s="3"/>
      <x:c r="C35" s="3"/>
      <x:c r="D35" s="44"/>
      <x:c r="E35" s="44"/>
      <x:c r="F35" s="5">
        <x:f t="shared" si="5"/>
        <x:v>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5803346</x:v>
      </x:c>
      <x:c r="E38" s="9">
        <x:f>SUM(E28:E37)</x:f>
        <x:v>381453.59999999998</x:v>
      </x:c>
      <x:c r="F38" s="10">
        <x:f>SUM(F28:F37)</x:f>
        <x:v>6184799.5999999996</x:v>
      </x:c>
      <x:c r="G38" s="11"/>
      <x:c r="H38" s="7"/>
      <x:c r="I38" s="8"/>
      <x:c r="J38" s="8"/>
      <x:c r="K38" s="9">
        <x:f>SUM(K28:K37)</x:f>
        <x:v>2298122</x:v>
      </x:c>
      <x:c r="L38" s="9">
        <x:f>SUM(L28:L37)</x:f>
        <x:v>125728.20000000001</x:v>
      </x:c>
      <x:c r="M38" s="10">
        <x:f>SUM(M28:M37)</x:f>
        <x:v>2423850.2000000002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91515126</x:v>
      </x:c>
      <x:c r="E39" s="14">
        <x:f>+E17+E22+E27+E38</x:f>
        <x:v>4025631.6000000001</x:v>
      </x:c>
      <x:c r="F39" s="15">
        <x:f>+F17+F22+F27+F38</x:f>
        <x:v>95540757.599999994</x:v>
      </x:c>
      <x:c r="G39" s="16"/>
      <x:c r="H39" s="12"/>
      <x:c r="I39" s="13"/>
      <x:c r="J39" s="13"/>
      <x:c r="K39" s="14">
        <x:f>+K17+K22+K27+K38</x:f>
        <x:v>58375942</x:v>
      </x:c>
      <x:c r="L39" s="14">
        <x:f>+L17+L22+L27+L38</x:f>
        <x:v>2961510.2000000002</x:v>
      </x:c>
      <x:c r="M39" s="15">
        <x:f>+M17+M22+M27+M38</x:f>
        <x:v>61337452.200000003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5357874</x:v>
      </x:c>
      <x:c r="E40" s="25">
        <x:f>+E4-E39</x:f>
        <x:v>-898631.60000000009</x:v>
      </x:c>
      <x:c r="F40" s="26">
        <x:f>+F4-F39</x:f>
        <x:v>4459242.400000006</x:v>
      </x:c>
      <x:c r="G40" s="27"/>
      <x:c r="H40" s="23"/>
      <x:c r="I40" s="24"/>
      <x:c r="J40" s="24"/>
      <x:c r="K40" s="25">
        <x:f>+K4-K39</x:f>
        <x:v>13460058</x:v>
      </x:c>
      <x:c r="L40" s="25">
        <x:f>+L4-L39</x:f>
        <x:v>-2797510.2000000002</x:v>
      </x:c>
      <x:c r="M40" s="26">
        <x:f>+M4-M39</x:f>
        <x:v>10662547.799999997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07" t="s">
        <x:v>144</x:v>
      </x:c>
      <x:c r="C42" s="107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07" t="s">
        <x:v>144</x:v>
      </x:c>
      <x:c r="J42" s="107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06" t="s">
        <x:v>151</x:v>
      </x:c>
      <x:c r="B43" s="38" t="s">
        <x:v>1679</x:v>
      </x:c>
      <x:c r="C43" s="38" t="s">
        <x:v>1030</x:v>
      </x:c>
      <x:c r="D43" s="39">
        <x:v>119187070</x:v>
      </x:c>
      <x:c r="E43" s="39">
        <x:v>8812930</x:v>
      </x:c>
      <x:c r="F43" s="40">
        <x:f t="shared" ref="F43:F57" si="6">+D43+E43</x:f>
        <x:v>128000000</x:v>
      </x:c>
      <x:c r="G43" s="18"/>
      <x:c r="H43" s="106" t="s">
        <x:v>151</x:v>
      </x:c>
      <x:c r="I43" s="38" t="s">
        <x:v>1679</x:v>
      </x:c>
      <x:c r="J43" s="38" t="s">
        <x:v>1030</x:v>
      </x:c>
      <x:c r="K43" s="39">
        <x:v>68274178</x:v>
      </x:c>
      <x:c r="L43" s="39">
        <x:v>725822</x:v>
      </x:c>
      <x:c r="M43" s="40">
        <x:f>+K43+L43</x:f>
        <x:v>69000000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720</x:v>
      </x:c>
      <x:c r="D44" s="20">
        <x:v>11706900</x:v>
      </x:c>
      <x:c r="E44" s="20">
        <x:f>D44*0.1</x:f>
        <x:v>1170690</x:v>
      </x:c>
      <x:c r="F44" s="21">
        <x:f t="shared" si="6"/>
        <x:v>12877590</x:v>
      </x:c>
      <x:c r="G44" s="22"/>
      <x:c r="H44" s="298" t="s">
        <x:v>148</x:v>
      </x:c>
      <x:c r="I44" s="19" t="s">
        <x:v>838</x:v>
      </x:c>
      <x:c r="J44" s="19" t="s">
        <x:v>1188</x:v>
      </x:c>
      <x:c r="K44" s="20">
        <x:v>6466000</x:v>
      </x:c>
      <x:c r="L44" s="20">
        <x:f>+K44*0.1</x:f>
        <x:v>646600</x:v>
      </x:c>
      <x:c r="M44" s="21">
        <x:f>+K44+L44</x:f>
        <x:v>7112600</x:v>
      </x:c>
      <x:c r="N44" s="22"/>
    </x:row>
    <x:row r="45" spans="1:14" ht="20.100000000000001" customHeight="1">
      <x:c r="A45" s="299"/>
      <x:c r="B45" s="3" t="s">
        <x:v>840</x:v>
      </x:c>
      <x:c r="C45" s="3"/>
      <x:c r="D45" s="4"/>
      <x:c r="E45" s="4">
        <x:f>D45*0.1</x:f>
        <x:v>0</x:v>
      </x:c>
      <x:c r="F45" s="5">
        <x:f t="shared" si="6"/>
        <x:v>0</x:v>
      </x:c>
      <x:c r="G45" s="6"/>
      <x:c r="H45" s="299"/>
      <x:c r="I45" s="3" t="s">
        <x:v>867</x:v>
      </x:c>
      <x:c r="J45" s="3" t="s">
        <x:v>374</x:v>
      </x:c>
      <x:c r="K45" s="4">
        <x:v>13607000</x:v>
      </x:c>
      <x:c r="L45" s="4">
        <x:f>+K45*0.1</x:f>
        <x:v>1360700</x:v>
      </x:c>
      <x:c r="M45" s="5">
        <x:f>+K45+L45</x:f>
        <x:v>14967700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31752530</x:v>
      </x:c>
      <x:c r="E46" s="4">
        <x:f>D46*0.1</x:f>
        <x:v>3175253</x:v>
      </x:c>
      <x:c r="F46" s="5">
        <x:f t="shared" si="6"/>
        <x:v>34927783</x:v>
      </x:c>
      <x:c r="G46" s="6"/>
      <x:c r="H46" s="299"/>
      <x:c r="I46" s="3" t="s">
        <x:v>840</x:v>
      </x:c>
      <x:c r="J46" s="3" t="s">
        <x:v>342</x:v>
      </x:c>
      <x:c r="K46" s="4">
        <x:v>84000</x:v>
      </x:c>
      <x:c r="L46" s="4">
        <x:f>+INT(K46*0.1)</x:f>
        <x:v>8400</x:v>
      </x:c>
      <x:c r="M46" s="5">
        <x:f t="shared" ref="M46:M57" si="7">+K46+L46</x:f>
        <x:v>92400</x:v>
      </x:c>
      <x:c r="N46" s="6"/>
    </x:row>
    <x:row r="47" spans="1:14" ht="20.100000000000001" customHeight="1">
      <x:c r="A47" s="299"/>
      <x:c r="B47" s="3" t="s">
        <x:v>976</x:v>
      </x:c>
      <x:c r="C47" s="3"/>
      <x:c r="D47" s="4"/>
      <x:c r="E47" s="4">
        <x:f>D47*0.1</x:f>
        <x:v>0</x:v>
      </x:c>
      <x:c r="F47" s="5">
        <x:f t="shared" si="6"/>
        <x:v>0</x:v>
      </x:c>
      <x:c r="G47" s="6"/>
      <x:c r="H47" s="299"/>
      <x:c r="I47" s="3" t="s">
        <x:v>976</x:v>
      </x:c>
      <x:c r="J47" s="3" t="s">
        <x:v>337</x:v>
      </x:c>
      <x:c r="K47" s="4">
        <x:v>615000</x:v>
      </x:c>
      <x:c r="L47" s="4">
        <x:f t="shared" ref="L47:L57" si="8">+INT(K47*0.1)</x:f>
        <x:v>61500</x:v>
      </x:c>
      <x:c r="M47" s="5">
        <x:f t="shared" si="7"/>
        <x:v>676500</x:v>
      </x:c>
      <x:c r="N47" s="6"/>
    </x:row>
    <x:row r="48" spans="1:14" ht="20.100000000000001" customHeight="1">
      <x:c r="A48" s="299"/>
      <x:c r="B48" s="3" t="s">
        <x:v>1058</x:v>
      </x:c>
      <x:c r="C48" s="3" t="s">
        <x:v>100</x:v>
      </x:c>
      <x:c r="D48" s="4">
        <x:v>4554500</x:v>
      </x:c>
      <x:c r="E48" s="4">
        <x:f>D48*0.1</x:f>
        <x:v>455450</x:v>
      </x:c>
      <x:c r="F48" s="5">
        <x:f t="shared" si="6"/>
        <x:v>5009950</x:v>
      </x:c>
      <x:c r="G48" s="6"/>
      <x:c r="H48" s="299"/>
      <x:c r="I48" s="3" t="s">
        <x:v>1058</x:v>
      </x:c>
      <x:c r="J48" s="3" t="s">
        <x:v>724</x:v>
      </x:c>
      <x:c r="K48" s="4">
        <x:v>17200</x:v>
      </x:c>
      <x:c r="L48" s="4">
        <x:f t="shared" si="8"/>
        <x:v>1720</x:v>
      </x:c>
      <x:c r="M48" s="5">
        <x:f t="shared" si="7"/>
        <x:v>18920</x:v>
      </x:c>
      <x:c r="N48" s="6"/>
    </x:row>
    <x:row r="49" spans="1:14" ht="20.100000000000001" customHeight="1">
      <x:c r="A49" s="299"/>
      <x:c r="B49" s="3" t="s">
        <x:v>846</x:v>
      </x:c>
      <x:c r="C49" s="3" t="s">
        <x:v>1186</x:v>
      </x:c>
      <x:c r="D49" s="4">
        <x:v>2041126</x:v>
      </x:c>
      <x:c r="E49" s="4">
        <x:f t="shared" ref="E49:E57" si="9">+INT(D49*0.1)</x:f>
        <x:v>204112</x:v>
      </x:c>
      <x:c r="F49" s="5">
        <x:f t="shared" si="6"/>
        <x:v>2245238</x:v>
      </x:c>
      <x:c r="G49" s="6"/>
      <x:c r="H49" s="299"/>
      <x:c r="I49" s="3" t="s">
        <x:v>967</x:v>
      </x:c>
      <x:c r="J49" s="3"/>
      <x:c r="K49" s="4"/>
      <x:c r="L49" s="4">
        <x:f t="shared" si="8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 t="s">
        <x:v>846</x:v>
      </x:c>
      <x:c r="C50" s="3" t="s">
        <x:v>727</x:v>
      </x:c>
      <x:c r="D50" s="4">
        <x:v>93000</x:v>
      </x:c>
      <x:c r="E50" s="4">
        <x:f t="shared" si="9"/>
        <x:v>9300</x:v>
      </x:c>
      <x:c r="F50" s="5">
        <x:f t="shared" si="6"/>
        <x:v>102300</x:v>
      </x:c>
      <x:c r="G50" s="6"/>
      <x:c r="H50" s="299"/>
      <x:c r="I50" s="3" t="s">
        <x:v>846</x:v>
      </x:c>
      <x:c r="J50" s="3" t="s">
        <x:v>1165</x:v>
      </x:c>
      <x:c r="K50" s="4">
        <x:v>1485650</x:v>
      </x:c>
      <x:c r="L50" s="4">
        <x:f t="shared" si="8"/>
        <x:v>148565</x:v>
      </x:c>
      <x:c r="M50" s="5">
        <x:f t="shared" si="7"/>
        <x:v>1634215</x:v>
      </x:c>
      <x:c r="N50" s="6"/>
    </x:row>
    <x:row r="51" spans="1:14" ht="20.100000000000001" customHeight="1">
      <x:c r="A51" s="299"/>
      <x:c r="B51" s="3" t="s">
        <x:v>1705</x:v>
      </x:c>
      <x:c r="C51" s="3" t="s">
        <x:v>1113</x:v>
      </x:c>
      <x:c r="D51" s="4">
        <x:v>588000</x:v>
      </x:c>
      <x:c r="E51" s="4">
        <x:f t="shared" si="9"/>
        <x:v>58800</x:v>
      </x:c>
      <x:c r="F51" s="5">
        <x:f t="shared" si="6"/>
        <x:v>646800</x:v>
      </x:c>
      <x:c r="G51" s="6"/>
      <x:c r="H51" s="299"/>
      <x:c r="I51" s="3" t="s">
        <x:v>938</x:v>
      </x:c>
      <x:c r="J51" s="3" t="s">
        <x:v>1094</x:v>
      </x:c>
      <x:c r="K51" s="4">
        <x:v>572000</x:v>
      </x:c>
      <x:c r="L51" s="4">
        <x:f t="shared" si="8"/>
        <x:v>57200</x:v>
      </x:c>
      <x:c r="M51" s="5">
        <x:f t="shared" si="7"/>
        <x:v>629200</x:v>
      </x:c>
      <x:c r="N51" s="6"/>
    </x:row>
    <x:row r="52" spans="1:14" ht="20.100000000000001" customHeight="1">
      <x:c r="A52" s="299"/>
      <x:c r="B52" s="3" t="s">
        <x:v>1119</x:v>
      </x:c>
      <x:c r="C52" s="3" t="s">
        <x:v>718</x:v>
      </x:c>
      <x:c r="D52" s="4">
        <x:v>742500</x:v>
      </x:c>
      <x:c r="E52" s="4">
        <x:f t="shared" si="9"/>
        <x:v>74250</x:v>
      </x:c>
      <x:c r="F52" s="5">
        <x:f t="shared" si="6"/>
        <x:v>816750</x:v>
      </x:c>
      <x:c r="G52" s="6"/>
      <x:c r="H52" s="299"/>
      <x:c r="I52" s="3" t="s">
        <x:v>1705</x:v>
      </x:c>
      <x:c r="J52" s="3" t="s">
        <x:v>1167</x:v>
      </x:c>
      <x:c r="K52" s="4">
        <x:v>646000</x:v>
      </x:c>
      <x:c r="L52" s="4">
        <x:f t="shared" si="8"/>
        <x:v>64600</x:v>
      </x:c>
      <x:c r="M52" s="5">
        <x:f t="shared" si="7"/>
        <x:v>710600</x:v>
      </x:c>
      <x:c r="N52" s="6"/>
    </x:row>
    <x:row r="53" spans="1:14" ht="20.100000000000001" customHeight="1">
      <x:c r="A53" s="299"/>
      <x:c r="B53" s="3" t="s">
        <x:v>1173</x:v>
      </x:c>
      <x:c r="C53" s="3" t="s">
        <x:v>1098</x:v>
      </x:c>
      <x:c r="D53" s="4">
        <x:v>110000</x:v>
      </x:c>
      <x:c r="E53" s="4">
        <x:f t="shared" si="9"/>
        <x:v>11000</x:v>
      </x:c>
      <x:c r="F53" s="5">
        <x:f t="shared" si="6"/>
        <x:v>121000</x:v>
      </x:c>
      <x:c r="G53" s="6"/>
      <x:c r="H53" s="299"/>
      <x:c r="I53" s="3"/>
      <x:c r="J53" s="3"/>
      <x:c r="K53" s="4"/>
      <x:c r="L53" s="4">
        <x:f t="shared" si="8"/>
        <x:v>0</x:v>
      </x:c>
      <x:c r="M53" s="5">
        <x:f t="shared" si="7"/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>
        <x:f t="shared" si="9"/>
        <x:v>0</x:v>
      </x:c>
      <x:c r="F54" s="5">
        <x:f t="shared" si="6"/>
        <x:v>0</x:v>
      </x:c>
      <x:c r="G54" s="6"/>
      <x:c r="H54" s="299"/>
      <x:c r="I54" s="3"/>
      <x:c r="J54" s="3"/>
      <x:c r="K54" s="4"/>
      <x:c r="L54" s="4">
        <x:f t="shared" si="8"/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/>
      <x:c r="C55" s="3"/>
      <x:c r="D55" s="4"/>
      <x:c r="E55" s="4">
        <x:f t="shared" si="9"/>
        <x:v>0</x:v>
      </x:c>
      <x:c r="F55" s="5">
        <x:f t="shared" si="6"/>
        <x:v>0</x:v>
      </x:c>
      <x:c r="G55" s="6"/>
      <x:c r="H55" s="299"/>
      <x:c r="I55" s="3"/>
      <x:c r="J55" s="3"/>
      <x:c r="K55" s="4"/>
      <x:c r="L55" s="4">
        <x:f t="shared" si="8"/>
        <x:v>0</x:v>
      </x:c>
      <x:c r="M55" s="5">
        <x:f t="shared" si="7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9"/>
        <x:v>0</x:v>
      </x:c>
      <x:c r="F56" s="5">
        <x:f t="shared" si="6"/>
        <x:v>0</x:v>
      </x:c>
      <x:c r="G56" s="6"/>
      <x:c r="H56" s="299"/>
      <x:c r="I56" s="3"/>
      <x:c r="J56" s="3"/>
      <x:c r="K56" s="4"/>
      <x:c r="L56" s="4">
        <x:f t="shared" si="8"/>
        <x:v>0</x:v>
      </x:c>
      <x:c r="M56" s="5">
        <x:f t="shared" si="7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9"/>
        <x:v>0</x:v>
      </x:c>
      <x:c r="F57" s="5">
        <x:f t="shared" si="6"/>
        <x:v>0</x:v>
      </x:c>
      <x:c r="G57" s="6"/>
      <x:c r="H57" s="299"/>
      <x:c r="I57" s="3"/>
      <x:c r="J57" s="3"/>
      <x:c r="K57" s="4"/>
      <x:c r="L57" s="4">
        <x:f t="shared" si="8"/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/>
      <x:c r="M58" s="5"/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51588556</x:v>
      </x:c>
      <x:c r="E59" s="9">
        <x:f>SUM(E44:E58)</x:f>
        <x:v>5158855</x:v>
      </x:c>
      <x:c r="F59" s="10">
        <x:f>SUM(F44:F58)</x:f>
        <x:v>56747411</x:v>
      </x:c>
      <x:c r="G59" s="11"/>
      <x:c r="H59" s="7" t="s">
        <x:v>155</x:v>
      </x:c>
      <x:c r="I59" s="8"/>
      <x:c r="J59" s="8"/>
      <x:c r="K59" s="9">
        <x:f>SUM(K44:K58)</x:f>
        <x:v>23492850</x:v>
      </x:c>
      <x:c r="L59" s="9">
        <x:f>SUM(L44:L58)</x:f>
        <x:v>2349285</x:v>
      </x:c>
      <x:c r="M59" s="10">
        <x:f>SUM(M44:M58)</x:f>
        <x:v>25842135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43680000</x:v>
      </x:c>
      <x:c r="E60" s="44"/>
      <x:c r="F60" s="45">
        <x:f>+D60+E60</x:f>
        <x:v>43680000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34670000</x:v>
      </x:c>
      <x:c r="L60" s="44"/>
      <x:c r="M60" s="45">
        <x:f>+K60+L60</x:f>
        <x:v>34670000</x:v>
      </x:c>
      <x:c r="N60" s="37"/>
    </x:row>
    <x:row r="61" spans="1:14" ht="20.100000000000001" customHeight="1">
      <x:c r="A61" s="299"/>
      <x:c r="B61" s="3"/>
      <x:c r="C61" s="3"/>
      <x:c r="D61" s="44"/>
      <x:c r="E61" s="44">
        <x:f>+D61*0.1</x:f>
        <x:v>0</x:v>
      </x:c>
      <x:c r="F61" s="45">
        <x:f>+D61+E61</x:f>
        <x:v>0</x:v>
      </x:c>
      <x:c r="G61" s="37"/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43680000</x:v>
      </x:c>
      <x:c r="E64" s="9">
        <x:f>SUM(E60:E63)</x:f>
        <x:v>0</x:v>
      </x:c>
      <x:c r="F64" s="10">
        <x:f>SUM(F60:F63)</x:f>
        <x:v>43680000</x:v>
      </x:c>
      <x:c r="G64" s="11"/>
      <x:c r="H64" s="7" t="s">
        <x:v>155</x:v>
      </x:c>
      <x:c r="I64" s="8"/>
      <x:c r="J64" s="8"/>
      <x:c r="K64" s="9">
        <x:f>SUM(K60:K63)</x:f>
        <x:v>34670000</x:v>
      </x:c>
      <x:c r="L64" s="9">
        <x:f>SUM(L60:L63)</x:f>
        <x:v>0</x:v>
      </x:c>
      <x:c r="M64" s="10">
        <x:f>SUM(M60:M63)</x:f>
        <x:v>34670000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>
        <x:v>600000</x:v>
      </x:c>
      <x:c r="L65" s="4">
        <x:f>+K65*0.1</x:f>
        <x:v>60000</x:v>
      </x:c>
      <x:c r="M65" s="5">
        <x:f>+K65+L65</x:f>
        <x:v>660000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600000</x:v>
      </x:c>
      <x:c r="L69" s="9">
        <x:f>SUM(L65:L68)</x:f>
        <x:v>60000</x:v>
      </x:c>
      <x:c r="M69" s="10">
        <x:f>SUM(M65:M68)</x:f>
        <x:v>660000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1195530</x:v>
      </x:c>
      <x:c r="E70" s="4"/>
      <x:c r="F70" s="5">
        <x:f>+D70+E70</x:f>
        <x:v>1195530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1209400</x:v>
      </x:c>
      <x:c r="L70" s="4"/>
      <x:c r="M70" s="5">
        <x:f>+K70+L70</x:f>
        <x:v>1209400</x:v>
      </x:c>
      <x:c r="N70" s="6"/>
    </x:row>
    <x:row r="71" spans="1:14" ht="20.100000000000001" customHeight="1">
      <x:c r="A71" s="299"/>
      <x:c r="B71" s="3" t="s">
        <x:v>172</x:v>
      </x:c>
      <x:c r="C71" s="3" t="s">
        <x:v>726</x:v>
      </x:c>
      <x:c r="D71" s="4">
        <x:v>-5000000</x:v>
      </x:c>
      <x:c r="E71" s="4"/>
      <x:c r="F71" s="5">
        <x:f>+D71+E71</x:f>
        <x:v>-5000000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721</x:v>
      </x:c>
      <x:c r="C72" s="3" t="s">
        <x:v>167</x:v>
      </x:c>
      <x:c r="D72" s="4">
        <x:v>96000</x:v>
      </x:c>
      <x:c r="E72" s="4">
        <x:f>+D72*0.1</x:f>
        <x:v>9600</x:v>
      </x:c>
      <x:c r="F72" s="5">
        <x:f t="shared" ref="F72:F79" si="10">+D72+E72</x:f>
        <x:v>105600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0"/>
        <x:v>110000</x:v>
      </x:c>
      <x:c r="G73" s="6"/>
      <x:c r="H73" s="299"/>
      <x:c r="I73" s="3" t="s">
        <x:v>1061</x:v>
      </x:c>
      <x:c r="J73" s="3" t="s">
        <x:v>167</x:v>
      </x:c>
      <x:c r="K73" s="4">
        <x:v>106000</x:v>
      </x:c>
      <x:c r="L73" s="4">
        <x:f>+K73*0.1</x:f>
        <x:v>10600</x:v>
      </x:c>
      <x:c r="M73" s="5">
        <x:f>+K73+L73</x:f>
        <x:v>116600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1441000</x:v>
      </x:c>
      <x:c r="E74" s="4">
        <x:f>D74*0.1</x:f>
        <x:v>144100</x:v>
      </x:c>
      <x:c r="F74" s="5">
        <x:f t="shared" si="10"/>
        <x:v>1585100</x:v>
      </x:c>
      <x:c r="G74" s="6"/>
      <x:c r="H74" s="299"/>
      <x:c r="I74" s="3" t="s">
        <x:v>1047</x:v>
      </x:c>
      <x:c r="J74" s="3" t="s">
        <x:v>962</x:v>
      </x:c>
      <x:c r="K74" s="4">
        <x:v>1044000</x:v>
      </x:c>
      <x:c r="L74" s="4">
        <x:f>+K74*0.1</x:f>
        <x:v>104400</x:v>
      </x:c>
      <x:c r="M74" s="5">
        <x:f t="shared" ref="M74:M79" si="11">+K74+L74</x:f>
        <x:v>1148400</x:v>
      </x:c>
      <x:c r="N74" s="6"/>
    </x:row>
    <x:row r="75" spans="1:14" ht="20.100000000000001" customHeight="1">
      <x:c r="A75" s="299"/>
      <x:c r="B75" s="3" t="s">
        <x:v>926</x:v>
      </x:c>
      <x:c r="C75" s="3" t="s">
        <x:v>927</x:v>
      </x:c>
      <x:c r="D75" s="4">
        <x:v>367870</x:v>
      </x:c>
      <x:c r="E75" s="4"/>
      <x:c r="F75" s="5">
        <x:f t="shared" si="10"/>
        <x:v>367870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1"/>
        <x:v>110000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0"/>
        <x:v>0</x:v>
      </x:c>
      <x:c r="G76" s="6"/>
      <x:c r="H76" s="299"/>
      <x:c r="I76" s="3"/>
      <x:c r="J76" s="3"/>
      <x:c r="K76" s="4"/>
      <x:c r="L76" s="4"/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0"/>
        <x:v>0</x:v>
      </x:c>
      <x:c r="G77" s="6"/>
      <x:c r="H77" s="299"/>
      <x:c r="I77" s="3"/>
      <x:c r="J77" s="3"/>
      <x:c r="K77" s="4"/>
      <x:c r="L77" s="4"/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0"/>
        <x:v>0</x:v>
      </x:c>
      <x:c r="G78" s="6"/>
      <x:c r="H78" s="299"/>
      <x:c r="I78" s="3"/>
      <x:c r="J78" s="3"/>
      <x:c r="K78" s="4"/>
      <x:c r="L78" s="4"/>
      <x:c r="M78" s="5">
        <x:f t="shared" si="11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0"/>
        <x:v>0</x:v>
      </x:c>
      <x:c r="G79" s="6"/>
      <x:c r="H79" s="300"/>
      <x:c r="I79" s="3"/>
      <x:c r="J79" s="3"/>
      <x:c r="K79" s="4"/>
      <x:c r="L79" s="4"/>
      <x:c r="M79" s="5">
        <x:f t="shared" si="11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-1799600</x:v>
      </x:c>
      <x:c r="E80" s="9">
        <x:f>SUM(E70:E79)</x:f>
        <x:v>163700</x:v>
      </x:c>
      <x:c r="F80" s="10">
        <x:f>SUM(F70:F79)</x:f>
        <x:v>-1635900</x:v>
      </x:c>
      <x:c r="G80" s="11"/>
      <x:c r="H80" s="7" t="s">
        <x:v>155</x:v>
      </x:c>
      <x:c r="I80" s="8"/>
      <x:c r="J80" s="8"/>
      <x:c r="K80" s="9">
        <x:f>SUM(K70:K79)</x:f>
        <x:v>3007400</x:v>
      </x:c>
      <x:c r="L80" s="9">
        <x:f>SUM(L70:L79)</x:f>
        <x:v>175000</x:v>
      </x:c>
      <x:c r="M80" s="10">
        <x:f>SUM(M70:M79)</x:f>
        <x:v>3182400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93768956</x:v>
      </x:c>
      <x:c r="E81" s="14">
        <x:f>+E59+E64+E69+E80</x:f>
        <x:v>5352555</x:v>
      </x:c>
      <x:c r="F81" s="15">
        <x:f>+F59+F64+F69+F80</x:f>
        <x:v>99121511</x:v>
      </x:c>
      <x:c r="G81" s="16"/>
      <x:c r="H81" s="12"/>
      <x:c r="I81" s="13"/>
      <x:c r="J81" s="13"/>
      <x:c r="K81" s="14">
        <x:f>+K59+K64+K69+K80</x:f>
        <x:v>61770250</x:v>
      </x:c>
      <x:c r="L81" s="14">
        <x:f>+L59+L64+L69+L80</x:f>
        <x:v>2584285</x:v>
      </x:c>
      <x:c r="M81" s="15">
        <x:f>+M59+M64+M69+M80</x:f>
        <x:v>64354535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25418114</x:v>
      </x:c>
      <x:c r="E82" s="25">
        <x:f>+E43-E81</x:f>
        <x:v>3460375</x:v>
      </x:c>
      <x:c r="F82" s="26">
        <x:f>+F43-F81</x:f>
        <x:v>28878489</x:v>
      </x:c>
      <x:c r="G82" s="27"/>
      <x:c r="H82" s="23"/>
      <x:c r="I82" s="24"/>
      <x:c r="J82" s="24"/>
      <x:c r="K82" s="25">
        <x:f>+K43-K81</x:f>
        <x:v>6503928</x:v>
      </x:c>
      <x:c r="L82" s="25">
        <x:f>+L43-L81</x:f>
        <x:v>-1858463</x:v>
      </x:c>
      <x:c r="M82" s="26">
        <x:f>+M43-M81</x:f>
        <x:v>4645465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07" t="s">
        <x:v>144</x:v>
      </x:c>
      <x:c r="C84" s="107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07" t="s">
        <x:v>144</x:v>
      </x:c>
      <x:c r="J84" s="107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69392538</x:v>
      </x:c>
      <x:c r="E85" s="39">
        <x:v>607462</x:v>
      </x:c>
      <x:c r="F85" s="40">
        <x:f>+D85+E85</x:f>
        <x:v>70000000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725</x:v>
      </x:c>
      <x:c r="D86" s="20">
        <x:v>2725200</x:v>
      </x:c>
      <x:c r="E86" s="20">
        <x:f>+D86*0.1</x:f>
        <x:v>272520</x:v>
      </x:c>
      <x:c r="F86" s="21">
        <x:f t="shared" ref="F86:F91" si="12">+D86+E86</x:f>
        <x:v>2997720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3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713</x:v>
      </x:c>
      <x:c r="D87" s="4">
        <x:v>17832000</x:v>
      </x:c>
      <x:c r="E87" s="4">
        <x:f>D87*0.1</x:f>
        <x:v>1783200</x:v>
      </x:c>
      <x:c r="F87" s="5">
        <x:f t="shared" si="12"/>
        <x:v>19615200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342</x:v>
      </x:c>
      <x:c r="D88" s="4">
        <x:v>84000</x:v>
      </x:c>
      <x:c r="E88" s="4">
        <x:f t="shared" ref="E88:E93" si="14">+D88*0.1</x:f>
        <x:v>8400</x:v>
      </x:c>
      <x:c r="F88" s="5">
        <x:f t="shared" si="12"/>
        <x:v>92400</x:v>
      </x:c>
      <x:c r="G88" s="6"/>
      <x:c r="H88" s="299"/>
      <x:c r="I88" s="3"/>
      <x:c r="J88" s="3"/>
      <x:c r="K88" s="4"/>
      <x:c r="L88" s="4">
        <x:f t="shared" ref="L88:L100" si="15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723</x:v>
      </x:c>
      <x:c r="D89" s="4">
        <x:v>3328200</x:v>
      </x:c>
      <x:c r="E89" s="4">
        <x:f t="shared" si="14"/>
        <x:v>332820</x:v>
      </x:c>
      <x:c r="F89" s="5">
        <x:f t="shared" si="12"/>
        <x:v>3661020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 t="s">
        <x:v>976</x:v>
      </x:c>
      <x:c r="C90" s="3" t="s">
        <x:v>337</x:v>
      </x:c>
      <x:c r="D90" s="4">
        <x:v>166000</x:v>
      </x:c>
      <x:c r="E90" s="4">
        <x:f t="shared" si="14"/>
        <x:v>16600</x:v>
      </x:c>
      <x:c r="F90" s="5">
        <x:f t="shared" si="12"/>
        <x:v>182600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 t="s">
        <x:v>967</x:v>
      </x:c>
      <x:c r="C91" s="3"/>
      <x:c r="D91" s="4"/>
      <x:c r="E91" s="4">
        <x:f t="shared" si="14"/>
        <x:v>0</x:v>
      </x:c>
      <x:c r="F91" s="5">
        <x:f t="shared" si="12"/>
        <x:v>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 t="s">
        <x:v>1705</x:v>
      </x:c>
      <x:c r="C92" s="3" t="s">
        <x:v>1139</x:v>
      </x:c>
      <x:c r="D92" s="4">
        <x:v>255000</x:v>
      </x:c>
      <x:c r="E92" s="4">
        <x:f t="shared" si="14"/>
        <x:v>25500</x:v>
      </x:c>
      <x:c r="F92" s="5">
        <x:f>+D92+E92</x:f>
        <x:v>280500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 t="s">
        <x:v>718</x:v>
      </x:c>
      <x:c r="D93" s="4">
        <x:v>2204250</x:v>
      </x:c>
      <x:c r="E93" s="4">
        <x:f t="shared" si="14"/>
        <x:v>220425</x:v>
      </x:c>
      <x:c r="F93" s="5">
        <x:f>+D93+E93</x:f>
        <x:v>2424675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846</x:v>
      </x:c>
      <x:c r="C94" s="3" t="s">
        <x:v>1166</x:v>
      </x:c>
      <x:c r="D94" s="4">
        <x:v>265000</x:v>
      </x:c>
      <x:c r="E94" s="4">
        <x:f t="shared" ref="E94:E100" si="16">+D94*0.1</x:f>
        <x:v>26500</x:v>
      </x:c>
      <x:c r="F94" s="5">
        <x:f t="shared" ref="F94:F100" si="17">+D94+E94</x:f>
        <x:v>291500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1094</x:v>
      </x:c>
      <x:c r="D95" s="4">
        <x:v>578000</x:v>
      </x:c>
      <x:c r="E95" s="4">
        <x:f t="shared" si="16"/>
        <x:v>57800</x:v>
      </x:c>
      <x:c r="F95" s="5">
        <x:f t="shared" si="17"/>
        <x:v>635800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 t="shared" si="17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6"/>
        <x:v>0</x:v>
      </x:c>
      <x:c r="F97" s="5">
        <x:f t="shared" si="17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6"/>
        <x:v>0</x:v>
      </x:c>
      <x:c r="F98" s="5">
        <x:f t="shared" si="17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7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6"/>
        <x:v>0</x:v>
      </x:c>
      <x:c r="F100" s="5">
        <x:f t="shared" si="17"/>
        <x:v>0</x:v>
      </x:c>
      <x:c r="G100" s="6"/>
      <x:c r="H100" s="300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27437650</x:v>
      </x:c>
      <x:c r="E101" s="9">
        <x:f>SUM(E86:E100)</x:f>
        <x:v>2743765</x:v>
      </x:c>
      <x:c r="F101" s="10">
        <x:f>SUM(F86:F100)</x:f>
        <x:v>30181415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14225000</x:v>
      </x:c>
      <x:c r="E102" s="4"/>
      <x:c r="F102" s="5">
        <x:f>+D102+E102</x:f>
        <x:v>14225000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695</x:v>
      </x:c>
      <x:c r="C103" s="3" t="s">
        <x:v>1127</x:v>
      </x:c>
      <x:c r="D103" s="4">
        <x:v>21500000</x:v>
      </x:c>
      <x:c r="E103" s="4"/>
      <x:c r="F103" s="5">
        <x:f>+D103+E103</x:f>
        <x:v>21500000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35725000</x:v>
      </x:c>
      <x:c r="E106" s="9">
        <x:f>SUM(E102:E105)</x:f>
        <x:v>0</x:v>
      </x:c>
      <x:c r="F106" s="10">
        <x:f>SUM(F102:F105)</x:f>
        <x:v>35725000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>
        <x:v>300000</x:v>
      </x:c>
      <x:c r="E107" s="4">
        <x:f>+D107*0.1</x:f>
        <x:v>30000</x:v>
      </x:c>
      <x:c r="F107" s="5">
        <x:f>+D107+E107</x:f>
        <x:v>330000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120000</x:v>
      </x:c>
      <x:c r="E108" s="4">
        <x:f>+D108*0.1</x:f>
        <x:v>12000</x:v>
      </x:c>
      <x:c r="F108" s="5">
        <x:f>+D108+E108</x:f>
        <x:v>132000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420000</x:v>
      </x:c>
      <x:c r="E111" s="9">
        <x:f>SUM(E107:E110)</x:f>
        <x:v>42000</x:v>
      </x:c>
      <x:c r="F111" s="10">
        <x:f>SUM(F107:F110)</x:f>
        <x:v>462000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238650</x:v>
      </x:c>
      <x:c r="E112" s="4"/>
      <x:c r="F112" s="5">
        <x:f>+D112+E112</x:f>
        <x:v>238650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1753</x:v>
      </x:c>
      <x:c r="D113" s="4">
        <x:v>100000</x:v>
      </x:c>
      <x:c r="E113" s="4">
        <x:f>+D113*0.1</x:f>
        <x:v>10000</x:v>
      </x:c>
      <x:c r="F113" s="5">
        <x:f>+D113+E113</x:f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>+D114+E114</x:f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1126000</x:v>
      </x:c>
      <x:c r="E115" s="4">
        <x:f>+D115*0.1</x:f>
        <x:v>112600</x:v>
      </x:c>
      <x:c r="F115" s="5">
        <x:f>+D115+E115</x:f>
        <x:v>1238600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130000</x:v>
      </x:c>
      <x:c r="E116" s="4">
        <x:f>+D116*0.1</x:f>
        <x:v>13000</x:v>
      </x:c>
      <x:c r="F116" s="5">
        <x:f>+D116+E116</x:f>
        <x:v>143000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/>
      <x:c r="C117" s="3"/>
      <x:c r="D117" s="4" t="s">
        <x:v>222</x:v>
      </x:c>
      <x:c r="E117" s="4"/>
      <x:c r="F117" s="5"/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1674650</x:v>
      </x:c>
      <x:c r="E122" s="9">
        <x:f>SUM(E112:E121)</x:f>
        <x:v>143600</x:v>
      </x:c>
      <x:c r="F122" s="10">
        <x:f>SUM(F112:F121)</x:f>
        <x:v>1818250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65257300</x:v>
      </x:c>
      <x:c r="E123" s="14">
        <x:f>+E101+E106+E111+E122</x:f>
        <x:v>2929365</x:v>
      </x:c>
      <x:c r="F123" s="15">
        <x:f>+F101+F106+F111+F122</x:f>
        <x:v>68186665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4135238</x:v>
      </x:c>
      <x:c r="E124" s="25">
        <x:f>+E85-E123</x:f>
        <x:v>-2321903</x:v>
      </x:c>
      <x:c r="F124" s="26">
        <x:f>+F85-F123</x:f>
        <x:v>1813335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07" t="s">
        <x:v>144</x:v>
      </x:c>
      <x:c r="C126" s="107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07" t="s">
        <x:v>144</x:v>
      </x:c>
      <x:c r="J126" s="107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06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8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8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19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8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19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8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19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8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19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8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9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0">+INT(D133*0.1)</x:f>
        <x:v>0</x:v>
      </x:c>
      <x:c r="F133" s="5">
        <x:f t="shared" si="18"/>
        <x:v>0</x:v>
      </x:c>
      <x:c r="G133" s="6"/>
      <x:c r="H133" s="299"/>
      <x:c r="I133" s="3"/>
      <x:c r="J133" s="3"/>
      <x:c r="K133" s="4"/>
      <x:c r="L133" s="4">
        <x:f t="shared" ref="L133:L142" si="21">+K133*0.1</x:f>
        <x:v>0</x:v>
      </x:c>
      <x:c r="M133" s="5">
        <x:f t="shared" si="19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0"/>
        <x:v>0</x:v>
      </x:c>
      <x:c r="F134" s="5">
        <x:f t="shared" si="18"/>
        <x:v>0</x:v>
      </x:c>
      <x:c r="G134" s="6"/>
      <x:c r="H134" s="299"/>
      <x:c r="I134" s="3"/>
      <x:c r="J134" s="3"/>
      <x:c r="K134" s="4"/>
      <x:c r="L134" s="4">
        <x:f t="shared" si="21"/>
        <x:v>0</x:v>
      </x:c>
      <x:c r="M134" s="5">
        <x:f t="shared" si="19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0"/>
        <x:v>0</x:v>
      </x:c>
      <x:c r="F135" s="5">
        <x:f t="shared" si="18"/>
        <x:v>0</x:v>
      </x:c>
      <x:c r="G135" s="6"/>
      <x:c r="H135" s="299"/>
      <x:c r="I135" s="3"/>
      <x:c r="J135" s="3"/>
      <x:c r="K135" s="4"/>
      <x:c r="L135" s="4">
        <x:f t="shared" si="21"/>
        <x:v>0</x:v>
      </x:c>
      <x:c r="M135" s="5">
        <x:f t="shared" si="19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0"/>
        <x:v>0</x:v>
      </x:c>
      <x:c r="F136" s="5">
        <x:f t="shared" si="18"/>
        <x:v>0</x:v>
      </x:c>
      <x:c r="G136" s="6"/>
      <x:c r="H136" s="299"/>
      <x:c r="I136" s="3"/>
      <x:c r="J136" s="3"/>
      <x:c r="K136" s="4"/>
      <x:c r="L136" s="4">
        <x:f t="shared" si="21"/>
        <x:v>0</x:v>
      </x:c>
      <x:c r="M136" s="5">
        <x:f t="shared" si="19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0"/>
        <x:v>0</x:v>
      </x:c>
      <x:c r="F137" s="5">
        <x:f t="shared" si="18"/>
        <x:v>0</x:v>
      </x:c>
      <x:c r="G137" s="6"/>
      <x:c r="H137" s="299"/>
      <x:c r="I137" s="3"/>
      <x:c r="J137" s="3"/>
      <x:c r="K137" s="4"/>
      <x:c r="L137" s="4">
        <x:f t="shared" si="21"/>
        <x:v>0</x:v>
      </x:c>
      <x:c r="M137" s="5">
        <x:f t="shared" si="19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0"/>
        <x:v>0</x:v>
      </x:c>
      <x:c r="F138" s="5">
        <x:f t="shared" si="18"/>
        <x:v>0</x:v>
      </x:c>
      <x:c r="G138" s="6"/>
      <x:c r="H138" s="299"/>
      <x:c r="I138" s="3"/>
      <x:c r="J138" s="3"/>
      <x:c r="K138" s="4"/>
      <x:c r="L138" s="4">
        <x:f t="shared" si="21"/>
        <x:v>0</x:v>
      </x:c>
      <x:c r="M138" s="5">
        <x:f t="shared" si="19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0"/>
        <x:v>0</x:v>
      </x:c>
      <x:c r="F139" s="5">
        <x:f t="shared" si="18"/>
        <x:v>0</x:v>
      </x:c>
      <x:c r="G139" s="6"/>
      <x:c r="H139" s="299"/>
      <x:c r="I139" s="3"/>
      <x:c r="J139" s="3"/>
      <x:c r="K139" s="4"/>
      <x:c r="L139" s="4">
        <x:f t="shared" si="21"/>
        <x:v>0</x:v>
      </x:c>
      <x:c r="M139" s="5">
        <x:f t="shared" si="19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0"/>
        <x:v>0</x:v>
      </x:c>
      <x:c r="F140" s="5">
        <x:f t="shared" si="18"/>
        <x:v>0</x:v>
      </x:c>
      <x:c r="G140" s="6"/>
      <x:c r="H140" s="299"/>
      <x:c r="I140" s="3"/>
      <x:c r="J140" s="3"/>
      <x:c r="K140" s="4"/>
      <x:c r="L140" s="4">
        <x:f t="shared" si="21"/>
        <x:v>0</x:v>
      </x:c>
      <x:c r="M140" s="5">
        <x:f t="shared" si="19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0"/>
        <x:v>0</x:v>
      </x:c>
      <x:c r="F141" s="5">
        <x:f t="shared" si="18"/>
        <x:v>0</x:v>
      </x:c>
      <x:c r="G141" s="6"/>
      <x:c r="H141" s="299"/>
      <x:c r="I141" s="3"/>
      <x:c r="J141" s="3"/>
      <x:c r="K141" s="4"/>
      <x:c r="L141" s="4">
        <x:f t="shared" si="21"/>
        <x:v>0</x:v>
      </x:c>
      <x:c r="M141" s="5">
        <x:f t="shared" si="19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1"/>
        <x:v>0</x:v>
      </x:c>
      <x:c r="M142" s="5">
        <x:f t="shared" si="19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2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2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2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3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2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3"/>
        <x:v>0</x:v>
      </x:c>
      <x:c r="G158" s="6"/>
      <x:c r="H158" s="299"/>
      <x:c r="I158" s="3"/>
      <x:c r="J158" s="3"/>
      <x:c r="K158" s="4"/>
      <x:c r="L158" s="4">
        <x:f t="shared" ref="L158:L163" si="24">+K158*0.1</x:f>
        <x:v>0</x:v>
      </x:c>
      <x:c r="M158" s="5">
        <x:f t="shared" si="22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3"/>
        <x:v>0</x:v>
      </x:c>
      <x:c r="G159" s="6"/>
      <x:c r="H159" s="299"/>
      <x:c r="I159" s="3"/>
      <x:c r="J159" s="3"/>
      <x:c r="K159" s="4"/>
      <x:c r="L159" s="4">
        <x:f t="shared" si="24"/>
        <x:v>0</x:v>
      </x:c>
      <x:c r="M159" s="5">
        <x:f t="shared" si="22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3"/>
        <x:v>0</x:v>
      </x:c>
      <x:c r="G160" s="6"/>
      <x:c r="H160" s="299"/>
      <x:c r="I160" s="3"/>
      <x:c r="J160" s="3"/>
      <x:c r="K160" s="4"/>
      <x:c r="L160" s="4">
        <x:f t="shared" si="24"/>
        <x:v>0</x:v>
      </x:c>
      <x:c r="M160" s="5">
        <x:f t="shared" si="22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3"/>
        <x:v>0</x:v>
      </x:c>
      <x:c r="G161" s="6"/>
      <x:c r="H161" s="299"/>
      <x:c r="I161" s="3"/>
      <x:c r="J161" s="3"/>
      <x:c r="K161" s="4"/>
      <x:c r="L161" s="4">
        <x:f t="shared" si="24"/>
        <x:v>0</x:v>
      </x:c>
      <x:c r="M161" s="5">
        <x:f t="shared" si="22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3"/>
        <x:v>0</x:v>
      </x:c>
      <x:c r="G162" s="6"/>
      <x:c r="H162" s="299"/>
      <x:c r="I162" s="3"/>
      <x:c r="J162" s="3"/>
      <x:c r="K162" s="4"/>
      <x:c r="L162" s="4">
        <x:f t="shared" si="24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3"/>
        <x:v>0</x:v>
      </x:c>
      <x:c r="G163" s="6"/>
      <x:c r="H163" s="300"/>
      <x:c r="I163" s="3"/>
      <x:c r="J163" s="3"/>
      <x:c r="K163" s="4"/>
      <x:c r="L163" s="4">
        <x:f t="shared" si="24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110247986</x:v>
      </x:c>
      <x:c r="E169" s="2">
        <x:f>+E17+E59+E101+E143</x:f>
        <x:v>11024798</x:v>
      </x:c>
      <x:c r="F169" s="2">
        <x:f>+F17+F59+F101+F143</x:f>
        <x:v>121272784</x:v>
      </x:c>
      <x:c r="K169" s="2">
        <x:f>+K17+K59+K101+K143</x:f>
        <x:v>42635070</x:v>
      </x:c>
      <x:c r="L169" s="2">
        <x:f>+L17+L59+L101+L143</x:f>
        <x:v>4263507</x:v>
      </x:c>
      <x:c r="M169" s="2">
        <x:f>+M17+M59+M101+M143</x:f>
        <x:v>46898577</x:v>
      </x:c>
    </x:row>
    <x:row r="170" spans="1:13">
      <x:c r="A170" s="1" t="s">
        <x:v>153</x:v>
      </x:c>
      <x:c r="D170" s="2">
        <x:f>+D22+D64+D106+D148</x:f>
        <x:v>128675000</x:v>
      </x:c>
      <x:c r="E170" s="2">
        <x:f>+E22+E64+E106+E148</x:f>
        <x:v>0</x:v>
      </x:c>
      <x:c r="F170" s="2">
        <x:f>+F22+F64+F106+F148</x:f>
        <x:v>128675000</x:v>
      </x:c>
      <x:c r="K170" s="2">
        <x:f>+K22+K64+K106+K148</x:f>
        <x:v>71605600</x:v>
      </x:c>
      <x:c r="L170" s="2">
        <x:f>+L22+L64+L106+L148</x:f>
        <x:v>921560</x:v>
      </x:c>
      <x:c r="M170" s="2">
        <x:f>+M22+M64+M106+M148</x:f>
        <x:v>72527160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5940000</x:v>
      </x:c>
      <x:c r="E171" s="2">
        <x:f>+E27+E69+E111+E153</x:f>
        <x:v>594000</x:v>
      </x:c>
      <x:c r="F171" s="2">
        <x:f>+F27+F69+F111+F153</x:f>
        <x:v>6534000</x:v>
      </x:c>
      <x:c r="H171" s="1"/>
      <x:c r="I171" s="1"/>
      <x:c r="J171" s="1"/>
      <x:c r="K171" s="2">
        <x:f>+K27+K69+K111+K153</x:f>
        <x:v>600000</x:v>
      </x:c>
      <x:c r="L171" s="2">
        <x:f>+L27+L69+L111+L153</x:f>
        <x:v>60000</x:v>
      </x:c>
      <x:c r="M171" s="2">
        <x:f>+M27+M69+M111+M153</x:f>
        <x:v>660000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5678396</x:v>
      </x:c>
      <x:c r="E172" s="2">
        <x:f>+E38+E80+E122+E164</x:f>
        <x:v>688753.59999999998</x:v>
      </x:c>
      <x:c r="F172" s="2">
        <x:f>+F38+F80+F122+F164</x:f>
        <x:v>6367149.5999999996</x:v>
      </x:c>
      <x:c r="H172" s="1"/>
      <x:c r="I172" s="1"/>
      <x:c r="J172" s="1"/>
      <x:c r="K172" s="2">
        <x:f>+K38+K80+K122+K164</x:f>
        <x:v>5305522</x:v>
      </x:c>
      <x:c r="L172" s="2">
        <x:f>+L38+L80+L122+L164</x:f>
        <x:v>300728.20000000001</x:v>
      </x:c>
      <x:c r="M172" s="2">
        <x:f>+M38+M80+M122+M164</x:f>
        <x:v>5606250.2000000002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250541382</x:v>
      </x:c>
      <x:c r="E173" s="2">
        <x:f>SUM(E169:E172)</x:f>
        <x:v>12307551.6</x:v>
      </x:c>
      <x:c r="F173" s="2">
        <x:f>SUM(F169:F172)</x:f>
        <x:v>262848933.59999999</x:v>
      </x:c>
      <x:c r="H173" s="1"/>
      <x:c r="I173" s="1"/>
      <x:c r="J173" s="1"/>
      <x:c r="K173" s="2">
        <x:f>SUM(K169:K172)</x:f>
        <x:v>120146192</x:v>
      </x:c>
      <x:c r="L173" s="2">
        <x:f>SUM(L169:L172)</x:f>
        <x:v>5545795.2000000002</x:v>
      </x:c>
      <x:c r="M173" s="2">
        <x:f>SUM(M169:M172)</x:f>
        <x:v>125691987.2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152883056</x:v>
      </x:c>
      <x:c r="E176" s="2">
        <x:f>+E169+L169</x:f>
        <x:v>15288305</x:v>
      </x:c>
      <x:c r="F176" s="2">
        <x:f>+F169+M169</x:f>
        <x:v>168171361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5">+D170+K170</x:f>
        <x:v>200280600</x:v>
      </x:c>
      <x:c r="E177" s="2">
        <x:f t="shared" si="25"/>
        <x:v>921560</x:v>
      </x:c>
      <x:c r="F177" s="2">
        <x:f t="shared" si="25"/>
        <x:v>201202160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5"/>
        <x:v>6540000</x:v>
      </x:c>
      <x:c r="E178" s="2">
        <x:f t="shared" si="25"/>
        <x:v>654000</x:v>
      </x:c>
      <x:c r="F178" s="2">
        <x:f t="shared" si="25"/>
        <x:v>7194000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5"/>
        <x:v>10983918</x:v>
      </x:c>
      <x:c r="E179" s="2">
        <x:f t="shared" si="25"/>
        <x:v>989481.80000000005</x:v>
      </x:c>
      <x:c r="F179" s="2">
        <x:f t="shared" si="25"/>
        <x:v>11973399.800000001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370687574</x:v>
      </x:c>
      <x:c r="E180" s="2">
        <x:f>SUM(E176:E179)</x:f>
        <x:v>17853346.800000001</x:v>
      </x:c>
      <x:c r="F180" s="2">
        <x:f>SUM(F176:F179)</x:f>
        <x:v>388540920.80000001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425562786</x:v>
      </x:c>
      <x:c r="E181" s="2">
        <x:f>E4+E43+E85+L4+L43+L85</x:f>
        <x:v>13437214</x:v>
      </x:c>
      <x:c r="F181" s="2">
        <x:f>F4+F43+F85+M4+M43+M85</x:f>
        <x:v>439000000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54875212</x:v>
      </x:c>
      <x:c r="E182" s="2">
        <x:f>+E181-E180</x:f>
        <x:v>-4416132.8000000007</x:v>
      </x:c>
      <x:c r="F182" s="2">
        <x:f>+F181-F180</x:f>
        <x:v>50459079.199999988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R22"/>
  <x:sheetViews>
    <x:sheetView view="pageBreakPreview" topLeftCell="A1" zoomScaleNormal="100" zoomScaleSheetLayoutView="100" workbookViewId="0">
      <x:selection activeCell="J7" activeCellId="0" sqref="J7:J7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7.625" style="1" customWidth="1"/>
    <x:col min="4" max="4" width="16.625" style="1" customWidth="1"/>
    <x:col min="5" max="8" width="15.875" style="2" customWidth="1"/>
    <x:col min="9" max="9" width="15.875" style="1" customWidth="1"/>
    <x:col min="10" max="10" width="17.625" style="1" customWidth="1"/>
    <x:col min="11" max="11" width="19" style="2" customWidth="1"/>
  </x:cols>
  <x:sheetData>
    <x:row r="1" spans="1:11" ht="90" customHeight="1">
      <x:c r="A1" s="286" t="s">
        <x:v>1761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</x:row>
    <x:row r="2" spans="2:18" ht="20.100000000000001" customHeight="1">
      <x:c r="B2" s="108"/>
      <x:c r="C2" s="108"/>
      <x:c r="D2" s="108"/>
      <x:c r="E2" s="108"/>
      <x:c r="F2" s="108"/>
      <x:c r="G2" s="108"/>
      <x:c r="H2" s="108"/>
      <x:c r="I2" s="108"/>
      <x:c r="J2" s="108"/>
      <x:c r="K2" s="70" t="s">
        <x:v>1036</x:v>
      </x:c>
      <x:c r="N2" s="287" t="s">
        <x:v>214</x:v>
      </x:c>
      <x:c r="O2" s="72" t="s">
        <x:v>1045</x:v>
      </x:c>
      <x:c r="P2" s="72" t="s">
        <x:v>220</x:v>
      </x:c>
      <x:c r="Q2" s="72" t="s">
        <x:v>206</x:v>
      </x:c>
      <x:c r="R2" s="72" t="s">
        <x:v>199</x:v>
      </x:c>
    </x:row>
    <x:row r="3" spans="1:18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395</x:v>
      </x:c>
      <x:c r="E3" s="291" t="s">
        <x:v>213</x:v>
      </x:c>
      <x:c r="F3" s="292"/>
      <x:c r="G3" s="292"/>
      <x:c r="H3" s="292"/>
      <x:c r="I3" s="293"/>
      <x:c r="J3" s="289" t="s">
        <x:v>639</x:v>
      </x:c>
      <x:c r="K3" s="294" t="s">
        <x:v>154</x:v>
      </x:c>
      <x:c r="N3" s="287"/>
      <x:c r="O3" s="284"/>
      <x:c r="P3" s="284"/>
      <x:c r="Q3" s="284"/>
      <x:c r="R3" s="284"/>
    </x:row>
    <x:row r="4" spans="1:18" ht="30" customHeight="1">
      <x:c r="A4" s="288"/>
      <x:c r="B4" s="288"/>
      <x:c r="C4" s="288"/>
      <x:c r="D4" s="290"/>
      <x:c r="E4" s="31" t="s">
        <x:v>148</x:v>
      </x:c>
      <x:c r="F4" s="31" t="s">
        <x:v>153</x:v>
      </x:c>
      <x:c r="G4" s="31" t="s">
        <x:v>187</x:v>
      </x:c>
      <x:c r="H4" s="31" t="s">
        <x:v>149</x:v>
      </x:c>
      <x:c r="I4" s="110" t="s">
        <x:v>202</x:v>
      </x:c>
      <x:c r="J4" s="290"/>
      <x:c r="K4" s="295"/>
      <x:c r="N4" s="287"/>
      <x:c r="O4" s="285"/>
      <x:c r="P4" s="285"/>
      <x:c r="Q4" s="285"/>
      <x:c r="R4" s="285"/>
    </x:row>
    <x:row r="5" spans="1:18" ht="30" customHeight="1">
      <x:c r="A5" s="60">
        <x:v>1</x:v>
      </x:c>
      <x:c r="B5" s="63" t="s">
        <x:v>634</x:v>
      </x:c>
      <x:c r="C5" s="58" t="s">
        <x:v>901</x:v>
      </x:c>
      <x:c r="D5" s="74">
        <x:f>'20년06월(세부내역)'!D4</x:f>
        <x:v>98610000</x:v>
      </x:c>
      <x:c r="E5" s="67">
        <x:f>'20년06월(세부내역)'!D17</x:f>
        <x:v>14006830</x:v>
      </x:c>
      <x:c r="F5" s="67">
        <x:f>'20년06월(세부내역)'!D22</x:f>
        <x:v>44420000</x:v>
      </x:c>
      <x:c r="G5" s="67">
        <x:f>'20년06월(세부내역)'!D27</x:f>
        <x:v>1600000</x:v>
      </x:c>
      <x:c r="H5" s="67">
        <x:f>'20년06월(세부내역)'!D38</x:f>
        <x:v>5385286</x:v>
      </x:c>
      <x:c r="I5" s="75">
        <x:f>+SUM(E5:H5)</x:f>
        <x:v>65412116</x:v>
      </x:c>
      <x:c r="J5" s="9">
        <x:f>D5-I5</x:f>
        <x:v>33197884</x:v>
      </x:c>
      <x:c r="K5" s="67"/>
      <x:c r="N5" s="287"/>
      <x:c r="O5" s="73" t="s">
        <x:v>215</x:v>
      </x:c>
      <x:c r="P5" s="73" t="s">
        <x:v>215</x:v>
      </x:c>
      <x:c r="Q5" s="73" t="s">
        <x:v>215</x:v>
      </x:c>
      <x:c r="R5" s="73" t="s">
        <x:v>215</x:v>
      </x:c>
    </x:row>
    <x:row r="6" spans="1:11" ht="30" customHeight="1">
      <x:c r="A6" s="63">
        <x:v>2</x:v>
      </x:c>
      <x:c r="B6" s="63" t="s">
        <x:v>654</x:v>
      </x:c>
      <x:c r="C6" s="58" t="s">
        <x:v>1065</x:v>
      </x:c>
      <x:c r="D6" s="74">
        <x:f>'20년06월(세부내역)'!K4</x:f>
        <x:v>79820000</x:v>
      </x:c>
      <x:c r="E6" s="59">
        <x:f>+'20년06월(세부내역)'!K17</x:f>
        <x:v>25372090</x:v>
      </x:c>
      <x:c r="F6" s="59">
        <x:f>'20년06월(세부내역)'!K22</x:f>
        <x:v>42212200</x:v>
      </x:c>
      <x:c r="G6" s="59">
        <x:f>'20년06월(세부내역)'!K27</x:f>
        <x:v>0</x:v>
      </x:c>
      <x:c r="H6" s="59">
        <x:f>'20년06월(세부내역)'!K38</x:f>
        <x:v>2770255</x:v>
      </x:c>
      <x:c r="I6" s="75">
        <x:f>+SUM(E6:H6)</x:f>
        <x:v>70354545</x:v>
      </x:c>
      <x:c r="J6" s="9">
        <x:f>D6-I6</x:f>
        <x:v>9465455</x:v>
      </x:c>
      <x:c r="K6" s="59"/>
    </x:row>
    <x:row r="7" spans="1:11" ht="30" customHeight="1">
      <x:c r="A7" s="63">
        <x:v>3</x:v>
      </x:c>
      <x:c r="B7" s="63" t="s">
        <x:v>871</x:v>
      </x:c>
      <x:c r="C7" s="58" t="s">
        <x:v>1065</x:v>
      </x:c>
      <x:c r="D7" s="74">
        <x:f>'20년06월(세부내역)'!D43</x:f>
        <x:v>144328093</x:v>
      </x:c>
      <x:c r="E7" s="59">
        <x:f>+'20년06월(세부내역)'!D59</x:f>
        <x:v>35902184</x:v>
      </x:c>
      <x:c r="F7" s="59">
        <x:f>'20년06월(세부내역)'!D64</x:f>
        <x:v>51145000</x:v>
      </x:c>
      <x:c r="G7" s="59">
        <x:f>'20년06월(세부내역)'!D69</x:f>
        <x:v>300000</x:v>
      </x:c>
      <x:c r="H7" s="59">
        <x:f>'20년06월(세부내역)'!D80</x:f>
        <x:v>5195700</x:v>
      </x:c>
      <x:c r="I7" s="75">
        <x:f>+SUM(E7:H7)</x:f>
        <x:v>92542884</x:v>
      </x:c>
      <x:c r="J7" s="80">
        <x:f>D7-I7</x:f>
        <x:v>51785209</x:v>
      </x:c>
      <x:c r="K7" s="59"/>
    </x:row>
    <x:row r="8" spans="1:11" ht="30" customHeight="1">
      <x:c r="A8" s="63">
        <x:v>4</x:v>
      </x:c>
      <x:c r="B8" s="63" t="s">
        <x:v>1021</x:v>
      </x:c>
      <x:c r="C8" s="58" t="s">
        <x:v>1065</x:v>
      </x:c>
      <x:c r="D8" s="74">
        <x:f>'20년06월(세부내역)'!K43</x:f>
        <x:v>89053275</x:v>
      </x:c>
      <x:c r="E8" s="59">
        <x:f>'20년06월(세부내역)'!K59</x:f>
        <x:v>36451450</x:v>
      </x:c>
      <x:c r="F8" s="59">
        <x:f>'20년06월(세부내역)'!K64</x:f>
        <x:v>49640000</x:v>
      </x:c>
      <x:c r="G8" s="59">
        <x:f>'20년06월(세부내역)'!K69</x:f>
        <x:v>600000</x:v>
      </x:c>
      <x:c r="H8" s="59">
        <x:f>'20년06월(세부내역)'!K80</x:f>
        <x:v>5727000</x:v>
      </x:c>
      <x:c r="I8" s="75">
        <x:f>+SUM(E8:H8)</x:f>
        <x:v>92418450</x:v>
      </x:c>
      <x:c r="J8" s="76">
        <x:f>D8-I8</x:f>
        <x:v>-3365175</x:v>
      </x:c>
      <x:c r="K8" s="59"/>
    </x:row>
    <x:row r="9" spans="1:11" ht="30" customHeight="1">
      <x:c r="A9" s="63">
        <x:v>5</x:v>
      </x:c>
      <x:c r="B9" s="63" t="s">
        <x:v>1025</x:v>
      </x:c>
      <x:c r="C9" s="58" t="s">
        <x:v>1065</x:v>
      </x:c>
      <x:c r="D9" s="74">
        <x:f>'20년06월(세부내역)'!D85</x:f>
        <x:v>89218978</x:v>
      </x:c>
      <x:c r="E9" s="59">
        <x:f>'20년06월(세부내역)'!D101</x:f>
        <x:v>23001833</x:v>
      </x:c>
      <x:c r="F9" s="59">
        <x:f>'20년06월(세부내역)'!D106</x:f>
        <x:v>30637500</x:v>
      </x:c>
      <x:c r="G9" s="59">
        <x:f>'20년06월(세부내역)'!D111</x:f>
        <x:v>420000</x:v>
      </x:c>
      <x:c r="H9" s="59">
        <x:f>'20년06월(세부내역)'!D122</x:f>
        <x:v>1748420</x:v>
      </x:c>
      <x:c r="I9" s="75">
        <x:f>+SUM(E9:H9)</x:f>
        <x:v>55807753</x:v>
      </x:c>
      <x:c r="J9" s="9">
        <x:f>D9-I9</x:f>
        <x:v>33411225</x:v>
      </x:c>
      <x:c r="K9" s="59"/>
    </x:row>
    <x:row r="10" spans="1:11" ht="30" customHeight="1">
      <x:c r="A10" s="64"/>
      <x:c r="B10" s="64" t="s">
        <x:v>1690</x:v>
      </x:c>
      <x:c r="C10" s="65"/>
      <x:c r="D10" s="68">
        <x:f t="shared" ref="D10:J10" si="0">SUM(D5:D9)</x:f>
        <x:v>501030346</x:v>
      </x:c>
      <x:c r="E10" s="66">
        <x:f t="shared" si="0"/>
        <x:v>134734387</x:v>
      </x:c>
      <x:c r="F10" s="66">
        <x:f t="shared" si="0"/>
        <x:v>218054700</x:v>
      </x:c>
      <x:c r="G10" s="66">
        <x:f t="shared" si="0"/>
        <x:v>2920000</x:v>
      </x:c>
      <x:c r="H10" s="66">
        <x:f t="shared" si="0"/>
        <x:v>20826661</x:v>
      </x:c>
      <x:c r="I10" s="69">
        <x:f t="shared" si="0"/>
        <x:v>376535748</x:v>
      </x:c>
      <x:c r="J10" s="66">
        <x:f t="shared" si="0"/>
        <x:v>124494598</x:v>
      </x:c>
      <x:c r="K10" s="66"/>
    </x:row>
    <x:row r="22" spans="1:18" s="2" customFormat="1">
      <x:c r="A22" s="1"/>
      <x:c r="B22" s="1"/>
      <x:c r="C22" s="1"/>
      <x:c r="D22" s="1"/>
      <x:c r="I22" s="1"/>
      <x:c r="J22" s="1"/>
      <x:c r="L22" s="1"/>
      <x:c r="M22" s="1"/>
      <x:c r="N22" s="1"/>
      <x:c r="O22" s="1"/>
      <x:c r="P22" s="1"/>
      <x:c r="Q22" s="1"/>
      <x:c r="R22" s="1"/>
    </x:row>
  </x:sheetData>
  <x:mergeCells count="13">
    <x:mergeCell ref="O3:O4"/>
    <x:mergeCell ref="P3:P4"/>
    <x:mergeCell ref="Q3:Q4"/>
    <x:mergeCell ref="R3:R4"/>
    <x:mergeCell ref="A1:K1"/>
    <x:mergeCell ref="N2:N5"/>
    <x:mergeCell ref="A3:A4"/>
    <x:mergeCell ref="B3:B4"/>
    <x:mergeCell ref="C3:C4"/>
    <x:mergeCell ref="D3:D4"/>
    <x:mergeCell ref="E3:I3"/>
    <x:mergeCell ref="J3:J4"/>
    <x:mergeCell ref="K3:K4"/>
  </x:mergeCells>
  <x:pageMargins left="0.39361110329627991" right="0.39361110329627991" top="0.39361110329627991" bottom="0.39361110329627991" header="0.31486111879348755" footer="0.31486111879348755"/>
  <x:pageSetup paperSize="9" scale="70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/>
  <x:dimension ref="A1:N182"/>
  <x:sheetViews>
    <x:sheetView view="pageBreakPreview" topLeftCell="A31" zoomScaleNormal="100" zoomScaleSheetLayoutView="100" workbookViewId="0">
      <x:selection activeCell="J8" activeCellId="0" sqref="J8:J8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1762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10" t="s">
        <x:v>144</x:v>
      </x:c>
      <x:c r="C3" s="110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10" t="s">
        <x:v>144</x:v>
      </x:c>
      <x:c r="J3" s="110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98610000</x:v>
      </x:c>
      <x:c r="E4" s="39">
        <x:v>1390000</x:v>
      </x:c>
      <x:c r="F4" s="40">
        <x:f>+D4+E4</x:f>
        <x:v>100000000</x:v>
      </x:c>
      <x:c r="G4" s="42"/>
      <x:c r="H4" s="109" t="s">
        <x:v>151</x:v>
      </x:c>
      <x:c r="I4" s="38" t="s">
        <x:v>1679</x:v>
      </x:c>
      <x:c r="J4" s="38" t="s">
        <x:v>1030</x:v>
      </x:c>
      <x:c r="K4" s="39">
        <x:v>79820000</x:v>
      </x:c>
      <x:c r="L4" s="39">
        <x:v>180000</x:v>
      </x:c>
      <x:c r="M4" s="40">
        <x:f>+K4+L4</x:f>
        <x:v>80000000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 t="s">
        <x:v>1179</x:v>
      </x:c>
      <x:c r="D5" s="20">
        <x:v>123000</x:v>
      </x:c>
      <x:c r="E5" s="20">
        <x:f>+D5*0.1</x:f>
        <x:v>12300</x:v>
      </x:c>
      <x:c r="F5" s="21">
        <x:f>+D5+E5</x:f>
        <x:v>135300</x:v>
      </x:c>
      <x:c r="G5" s="22"/>
      <x:c r="H5" s="298" t="s">
        <x:v>148</x:v>
      </x:c>
      <x:c r="I5" s="19" t="s">
        <x:v>838</x:v>
      </x:c>
      <x:c r="J5" s="19" t="s">
        <x:v>732</x:v>
      </x:c>
      <x:c r="K5" s="20">
        <x:v>3355690</x:v>
      </x:c>
      <x:c r="L5" s="20">
        <x:f t="shared" ref="L5:L14" si="0">+K5*0.1</x:f>
        <x:v>335569</x:v>
      </x:c>
      <x:c r="M5" s="21">
        <x:f t="shared" ref="M5:M21" si="1">+K5+L5</x:f>
        <x:v>3691259</x:v>
      </x:c>
      <x:c r="N5" s="22"/>
    </x:row>
    <x:row r="6" spans="1:14" ht="20.100000000000001" customHeight="1">
      <x:c r="A6" s="299"/>
      <x:c r="B6" s="3" t="s">
        <x:v>867</x:v>
      </x:c>
      <x:c r="C6" s="3" t="s">
        <x:v>369</x:v>
      </x:c>
      <x:c r="D6" s="4">
        <x:v>2588000</x:v>
      </x:c>
      <x:c r="E6" s="4">
        <x:f t="shared" ref="E6:E16" si="2">+D6*0.1</x:f>
        <x:v>258800</x:v>
      </x:c>
      <x:c r="F6" s="5">
        <x:f>+D6+E6</x:f>
        <x:v>2846800</x:v>
      </x:c>
      <x:c r="G6" s="6"/>
      <x:c r="H6" s="299"/>
      <x:c r="I6" s="3" t="s">
        <x:v>867</x:v>
      </x:c>
      <x:c r="J6" s="3" t="s">
        <x:v>384</x:v>
      </x:c>
      <x:c r="K6" s="4">
        <x:v>16768500</x:v>
      </x:c>
      <x:c r="L6" s="4">
        <x:f t="shared" si="0"/>
        <x:v>1676850</x:v>
      </x:c>
      <x:c r="M6" s="5">
        <x:f t="shared" si="1"/>
        <x:v>18445350</x:v>
      </x:c>
      <x:c r="N6" s="6"/>
    </x:row>
    <x:row r="7" spans="1:14" ht="20.100000000000001" customHeight="1">
      <x:c r="A7" s="299"/>
      <x:c r="B7" s="3" t="s">
        <x:v>1150</x:v>
      </x:c>
      <x:c r="C7" s="3" t="s">
        <x:v>1195</x:v>
      </x:c>
      <x:c r="D7" s="4">
        <x:v>260000</x:v>
      </x:c>
      <x:c r="E7" s="4">
        <x:f t="shared" si="2"/>
        <x:v>26000</x:v>
      </x:c>
      <x:c r="F7" s="5">
        <x:f>+D7+E7</x:f>
        <x:v>286000</x:v>
      </x:c>
      <x:c r="G7" s="6"/>
      <x:c r="H7" s="299"/>
      <x:c r="I7" s="3" t="s">
        <x:v>1119</x:v>
      </x:c>
      <x:c r="J7" s="3" t="s">
        <x:v>717</x:v>
      </x:c>
      <x:c r="K7" s="4">
        <x:v>2373000</x:v>
      </x:c>
      <x:c r="L7" s="4">
        <x:f t="shared" si="0"/>
        <x:v>237300</x:v>
      </x:c>
      <x:c r="M7" s="5">
        <x:f t="shared" si="1"/>
        <x:v>2610300</x:v>
      </x:c>
      <x:c r="N7" s="6"/>
    </x:row>
    <x:row r="8" spans="1:14" ht="20.100000000000001" customHeight="1">
      <x:c r="A8" s="299"/>
      <x:c r="B8" s="3" t="s">
        <x:v>840</x:v>
      </x:c>
      <x:c r="C8" s="3"/>
      <x:c r="D8" s="4"/>
      <x:c r="E8" s="4">
        <x:f t="shared" si="2"/>
        <x:v>0</x:v>
      </x:c>
      <x:c r="F8" s="5">
        <x:f t="shared" ref="F8:F16" si="3">+D8+E8</x:f>
        <x:v>0</x:v>
      </x:c>
      <x:c r="G8" s="6"/>
      <x:c r="H8" s="299"/>
      <x:c r="I8" s="3" t="s">
        <x:v>976</x:v>
      </x:c>
      <x:c r="J8" s="3" t="s">
        <x:v>706</x:v>
      </x:c>
      <x:c r="K8" s="4">
        <x:v>500000</x:v>
      </x:c>
      <x:c r="L8" s="4">
        <x:f t="shared" si="0"/>
        <x:v>50000</x:v>
      </x:c>
      <x:c r="M8" s="5">
        <x:f t="shared" si="1"/>
        <x:v>550000</x:v>
      </x:c>
      <x:c r="N8" s="6"/>
    </x:row>
    <x:row r="9" spans="1:14" ht="20.100000000000001" customHeight="1">
      <x:c r="A9" s="299"/>
      <x:c r="B9" s="3" t="s">
        <x:v>854</x:v>
      </x:c>
      <x:c r="C9" s="3" t="s">
        <x:v>336</x:v>
      </x:c>
      <x:c r="D9" s="4">
        <x:v>2445000</x:v>
      </x:c>
      <x:c r="E9" s="4">
        <x:f t="shared" si="2"/>
        <x:v>244500</x:v>
      </x:c>
      <x:c r="F9" s="5">
        <x:f t="shared" si="3"/>
        <x:v>2689500</x:v>
      </x:c>
      <x:c r="G9" s="6"/>
      <x:c r="H9" s="299"/>
      <x:c r="I9" s="3" t="s">
        <x:v>840</x:v>
      </x:c>
      <x:c r="J9" s="3"/>
      <x:c r="K9" s="4"/>
      <x:c r="L9" s="4">
        <x:f t="shared" si="0"/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3" t="s">
        <x:v>1052</x:v>
      </x:c>
      <x:c r="C10" s="3" t="s">
        <x:v>1177</x:v>
      </x:c>
      <x:c r="D10" s="4">
        <x:v>4900100</x:v>
      </x:c>
      <x:c r="E10" s="4">
        <x:f t="shared" si="2"/>
        <x:v>490010</x:v>
      </x:c>
      <x:c r="F10" s="5">
        <x:f t="shared" si="3"/>
        <x:v>5390110</x:v>
      </x:c>
      <x:c r="G10" s="6"/>
      <x:c r="H10" s="299"/>
      <x:c r="I10" s="3" t="s">
        <x:v>967</x:v>
      </x:c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3" t="s">
        <x:v>864</x:v>
      </x:c>
      <x:c r="C11" s="3" t="s">
        <x:v>722</x:v>
      </x:c>
      <x:c r="D11" s="4">
        <x:v>209820</x:v>
      </x:c>
      <x:c r="E11" s="4">
        <x:f t="shared" si="2"/>
        <x:v>20982</x:v>
      </x:c>
      <x:c r="F11" s="5">
        <x:f t="shared" si="3"/>
        <x:v>230802</x:v>
      </x:c>
      <x:c r="G11" s="6"/>
      <x:c r="H11" s="299"/>
      <x:c r="I11" s="3" t="s">
        <x:v>846</x:v>
      </x:c>
      <x:c r="J11" s="3" t="s">
        <x:v>1152</x:v>
      </x:c>
      <x:c r="K11" s="4">
        <x:v>902900</x:v>
      </x:c>
      <x:c r="L11" s="4">
        <x:f t="shared" si="0"/>
        <x:v>90290</x:v>
      </x:c>
      <x:c r="M11" s="5">
        <x:f t="shared" si="1"/>
        <x:v>993190</x:v>
      </x:c>
      <x:c r="N11" s="6"/>
    </x:row>
    <x:row r="12" spans="1:14" ht="20.100000000000001" customHeight="1">
      <x:c r="A12" s="299"/>
      <x:c r="B12" s="3" t="s">
        <x:v>1705</x:v>
      </x:c>
      <x:c r="C12" s="3"/>
      <x:c r="D12" s="4"/>
      <x:c r="E12" s="4">
        <x:f>+D12*0.1</x:f>
        <x:v>0</x:v>
      </x:c>
      <x:c r="F12" s="5">
        <x:f>+D12+E12</x:f>
        <x:v>0</x:v>
      </x:c>
      <x:c r="G12" s="6"/>
      <x:c r="H12" s="299"/>
      <x:c r="I12" s="3" t="s">
        <x:v>938</x:v>
      </x:c>
      <x:c r="J12" s="3"/>
      <x:c r="K12" s="4"/>
      <x:c r="L12" s="4">
        <x:f t="shared" si="0"/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 t="s">
        <x:v>846</x:v>
      </x:c>
      <x:c r="C13" s="3" t="s">
        <x:v>1094</x:v>
      </x:c>
      <x:c r="D13" s="4">
        <x:v>1205000</x:v>
      </x:c>
      <x:c r="E13" s="4">
        <x:f>+D13*0.1</x:f>
        <x:v>120500</x:v>
      </x:c>
      <x:c r="F13" s="45">
        <x:f>+D13+E13</x:f>
        <x:v>1325500</x:v>
      </x:c>
      <x:c r="G13" s="6"/>
      <x:c r="H13" s="299"/>
      <x:c r="I13" s="3" t="s">
        <x:v>1705</x:v>
      </x:c>
      <x:c r="J13" s="3" t="s">
        <x:v>1190</x:v>
      </x:c>
      <x:c r="K13" s="4">
        <x:v>1472000</x:v>
      </x:c>
      <x:c r="L13" s="4">
        <x:f t="shared" si="0"/>
        <x:v>147200</x:v>
      </x:c>
      <x:c r="M13" s="5">
        <x:f t="shared" si="1"/>
        <x:v>1619200</x:v>
      </x:c>
      <x:c r="N13" s="6"/>
    </x:row>
    <x:row r="14" spans="1:14" ht="20.100000000000001" customHeight="1">
      <x:c r="A14" s="299"/>
      <x:c r="B14" s="3" t="s">
        <x:v>846</x:v>
      </x:c>
      <x:c r="C14" s="3" t="s">
        <x:v>1175</x:v>
      </x:c>
      <x:c r="D14" s="4">
        <x:v>1575910</x:v>
      </x:c>
      <x:c r="E14" s="4">
        <x:f>+D14*0.1</x:f>
        <x:v>157591</x:v>
      </x:c>
      <x:c r="F14" s="45">
        <x:f>+D14+E14</x:f>
        <x:v>1733501</x:v>
      </x:c>
      <x:c r="G14" s="6"/>
      <x:c r="H14" s="299"/>
      <x:c r="I14" s="3"/>
      <x:c r="J14" s="3"/>
      <x:c r="K14" s="4"/>
      <x:c r="L14" s="4">
        <x:f t="shared" si="0"/>
        <x:v>0</x:v>
      </x:c>
      <x:c r="M14" s="5">
        <x:f t="shared" si="1"/>
        <x:v>0</x:v>
      </x:c>
      <x:c r="N14" s="6"/>
    </x:row>
    <x:row r="15" spans="1:14" ht="20.100000000000001" customHeight="1">
      <x:c r="A15" s="299"/>
      <x:c r="B15" s="3" t="s">
        <x:v>233</x:v>
      </x:c>
      <x:c r="C15" s="3" t="s">
        <x:v>731</x:v>
      </x:c>
      <x:c r="D15" s="4">
        <x:v>700000</x:v>
      </x:c>
      <x:c r="E15" s="4">
        <x:f t="shared" si="2"/>
        <x:v>70000</x:v>
      </x:c>
      <x:c r="F15" s="45">
        <x:f t="shared" si="3"/>
        <x:v>770000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 t="shared" si="1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2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1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14006830</x:v>
      </x:c>
      <x:c r="E17" s="9">
        <x:f>SUM(E5:E16)</x:f>
        <x:v>1400683</x:v>
      </x:c>
      <x:c r="F17" s="10">
        <x:f>SUM(F5:F16)</x:f>
        <x:v>15407513</x:v>
      </x:c>
      <x:c r="G17" s="11"/>
      <x:c r="H17" s="7"/>
      <x:c r="I17" s="8"/>
      <x:c r="J17" s="8"/>
      <x:c r="K17" s="9">
        <x:f>SUM(K5:K16)</x:f>
        <x:v>25372090</x:v>
      </x:c>
      <x:c r="L17" s="9">
        <x:f>SUM(L5:L16)</x:f>
        <x:v>2537209</x:v>
      </x:c>
      <x:c r="M17" s="10">
        <x:f>SUM(M5:M16)</x:f>
        <x:v>27909299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44420000</x:v>
      </x:c>
      <x:c r="E18" s="44"/>
      <x:c r="F18" s="45">
        <x:f>+D18+E18</x:f>
        <x:v>44420000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16980000</x:v>
      </x:c>
      <x:c r="L18" s="4"/>
      <x:c r="M18" s="5">
        <x:f t="shared" si="1"/>
        <x:v>16980000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>+D19+E19</x:f>
        <x:v>0</x:v>
      </x:c>
      <x:c r="G19" s="37"/>
      <x:c r="H19" s="299"/>
      <x:c r="I19" s="3" t="s">
        <x:v>695</x:v>
      </x:c>
      <x:c r="J19" s="3" t="s">
        <x:v>1107</x:v>
      </x:c>
      <x:c r="K19" s="4">
        <x:v>14560000</x:v>
      </x:c>
      <x:c r="L19" s="4"/>
      <x:c r="M19" s="5">
        <x:f t="shared" si="1"/>
        <x:v>14560000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>
        <x:v>10672200</x:v>
      </x:c>
      <x:c r="L20" s="4">
        <x:f>+K20*0.1</x:f>
        <x:v>1067220</x:v>
      </x:c>
      <x:c r="M20" s="5">
        <x:f t="shared" si="1"/>
        <x:v>11739420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44420000</x:v>
      </x:c>
      <x:c r="E22" s="9">
        <x:f>SUM(E18:E21)</x:f>
        <x:v>0</x:v>
      </x:c>
      <x:c r="F22" s="10">
        <x:f>SUM(F18:F21)</x:f>
        <x:v>44420000</x:v>
      </x:c>
      <x:c r="G22" s="11"/>
      <x:c r="H22" s="7"/>
      <x:c r="I22" s="8"/>
      <x:c r="J22" s="8"/>
      <x:c r="K22" s="9">
        <x:f>SUM(K18:K21)</x:f>
        <x:v>42212200</x:v>
      </x:c>
      <x:c r="L22" s="9">
        <x:f>SUM(L18:L21)</x:f>
        <x:v>1067220</x:v>
      </x:c>
      <x:c r="M22" s="10">
        <x:f>SUM(M18:M21)</x:f>
        <x:v>43279420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/>
      <x:c r="J23" s="3"/>
      <x:c r="K23" s="4"/>
      <x:c r="L23" s="4">
        <x:f>+K23*0.1</x:f>
        <x:v>0</x:v>
      </x:c>
      <x:c r="M23" s="5">
        <x:f>+K23+L23</x:f>
        <x:v>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 t="s">
        <x:v>250</x:v>
      </x:c>
      <x:c r="H24" s="299"/>
      <x:c r="I24" s="3"/>
      <x:c r="J24" s="3"/>
      <x:c r="K24" s="4"/>
      <x:c r="L24" s="4">
        <x:f>K24*0.1</x:f>
        <x:v>0</x:v>
      </x:c>
      <x:c r="M24" s="5">
        <x:f>+K24+L24</x:f>
        <x:v>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>
        <x:v>500000</x:v>
      </x:c>
      <x:c r="E25" s="4">
        <x:f>+D25*0.1</x:f>
        <x:v>50000</x:v>
      </x:c>
      <x:c r="F25" s="5">
        <x:f>+D25+E25</x:f>
        <x:v>550000</x:v>
      </x:c>
      <x:c r="G25" s="6" t="s">
        <x:v>239</x:v>
      </x:c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 t="s">
        <x:v>1156</x:v>
      </x:c>
      <x:c r="C26" s="3" t="s">
        <x:v>946</x:v>
      </x:c>
      <x:c r="D26" s="4">
        <x:v>500000</x:v>
      </x:c>
      <x:c r="E26" s="4">
        <x:f>+D26*0.1</x:f>
        <x:v>50000</x:v>
      </x:c>
      <x:c r="F26" s="5">
        <x:f>+D26+E26</x:f>
        <x:v>550000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1600000</x:v>
      </x:c>
      <x:c r="E27" s="9">
        <x:f>SUM(E23:E26)</x:f>
        <x:v>160000</x:v>
      </x:c>
      <x:c r="F27" s="10">
        <x:f>SUM(F23:F26)</x:f>
        <x:v>1760000</x:v>
      </x:c>
      <x:c r="G27" s="11"/>
      <x:c r="H27" s="7"/>
      <x:c r="I27" s="8"/>
      <x:c r="J27" s="8"/>
      <x:c r="K27" s="9">
        <x:f>SUM(K23:K26)</x:f>
        <x:v>0</x:v>
      </x:c>
      <x:c r="L27" s="9">
        <x:f>SUM(L23:L26)</x:f>
        <x:v>0</x:v>
      </x:c>
      <x:c r="M27" s="10">
        <x:f>SUM(M23:M26)</x:f>
        <x:v>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1405740</x:v>
      </x:c>
      <x:c r="E28" s="44">
        <x:v>7000</x:v>
      </x:c>
      <x:c r="F28" s="5">
        <x:f t="shared" ref="F28:F37" si="4">+D28+E28</x:f>
        <x:v>1412740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1460710</x:v>
      </x:c>
      <x:c r="L28" s="4">
        <x:v>7000</x:v>
      </x:c>
      <x:c r="M28" s="5">
        <x:f t="shared" ref="M28:M37" si="5">+K28+L28</x:f>
        <x:v>1467710</x:v>
      </x:c>
      <x:c r="N28" s="6"/>
    </x:row>
    <x:row r="29" spans="1:14" ht="20.100000000000001" customHeight="1">
      <x:c r="A29" s="299"/>
      <x:c r="B29" s="3" t="s">
        <x:v>959</x:v>
      </x:c>
      <x:c r="C29" s="3" t="s">
        <x:v>739</x:v>
      </x:c>
      <x:c r="D29" s="4">
        <x:v>2765000</x:v>
      </x:c>
      <x:c r="E29" s="4">
        <x:f>+D29*0.1</x:f>
        <x:v>276500</x:v>
      </x:c>
      <x:c r="F29" s="5">
        <x:f t="shared" si="4"/>
        <x:v>3041500</x:v>
      </x:c>
      <x:c r="G29" s="6"/>
      <x:c r="H29" s="299"/>
      <x:c r="I29" s="3" t="s">
        <x:v>1091</x:v>
      </x:c>
      <x:c r="J29" s="3" t="s">
        <x:v>28</x:v>
      </x:c>
      <x:c r="K29" s="4">
        <x:v>474545</x:v>
      </x:c>
      <x:c r="L29" s="4">
        <x:f>+K29*0.1</x:f>
        <x:v>47454.5</x:v>
      </x:c>
      <x:c r="M29" s="5">
        <x:f t="shared" si="5"/>
        <x:v>521999.5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 t="shared" si="4"/>
        <x:v>550000</x:v>
      </x:c>
      <x:c r="G30" s="6"/>
      <x:c r="H30" s="299"/>
      <x:c r="I30" s="3" t="s">
        <x:v>217</x:v>
      </x:c>
      <x:c r="J30" s="3" t="s">
        <x:v>941</x:v>
      </x:c>
      <x:c r="K30" s="4">
        <x:v>500000</x:v>
      </x:c>
      <x:c r="L30" s="4">
        <x:f>+K30*0.1</x:f>
        <x:v>50000</x:v>
      </x:c>
      <x:c r="M30" s="5">
        <x:f t="shared" si="5"/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130000</x:v>
      </x:c>
      <x:c r="E31" s="4">
        <x:f>+D31*0.1</x:f>
        <x:v>13000</x:v>
      </x:c>
      <x:c r="F31" s="5">
        <x:f t="shared" si="4"/>
        <x:v>143000</x:v>
      </x:c>
      <x:c r="G31" s="6"/>
      <x:c r="H31" s="299"/>
      <x:c r="I31" s="3" t="s">
        <x:v>883</x:v>
      </x:c>
      <x:c r="J31" s="3" t="s">
        <x:v>1760</x:v>
      </x:c>
      <x:c r="K31" s="4">
        <x:v>200000</x:v>
      </x:c>
      <x:c r="L31" s="4">
        <x:f>K31*0.1</x:f>
        <x:v>20000</x:v>
      </x:c>
      <x:c r="M31" s="5">
        <x:f t="shared" si="5"/>
        <x:v>220000</x:v>
      </x:c>
      <x:c r="N31" s="6"/>
    </x:row>
    <x:row r="32" spans="1:14" ht="20.100000000000001" customHeight="1">
      <x:c r="A32" s="299"/>
      <x:c r="B32" s="3" t="s">
        <x:v>1699</x:v>
      </x:c>
      <x:c r="C32" s="3" t="s">
        <x:v>167</x:v>
      </x:c>
      <x:c r="D32" s="4">
        <x:v>110000</x:v>
      </x:c>
      <x:c r="E32" s="4">
        <x:f>+D32*0.1</x:f>
        <x:v>11000</x:v>
      </x:c>
      <x:c r="F32" s="5">
        <x:f t="shared" si="4"/>
        <x:v>121000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5"/>
        <x:v>110000</x:v>
      </x:c>
      <x:c r="N32" s="6"/>
    </x:row>
    <x:row r="33" spans="1:14" ht="20.100000000000001" customHeight="1">
      <x:c r="A33" s="299"/>
      <x:c r="B33" s="3" t="s">
        <x:v>994</x:v>
      </x:c>
      <x:c r="C33" s="3" t="s">
        <x:v>8</x:v>
      </x:c>
      <x:c r="D33" s="4">
        <x:v>424546</x:v>
      </x:c>
      <x:c r="E33" s="4">
        <x:f>+D33*0.1-1</x:f>
        <x:v>42453.600000000006</x:v>
      </x:c>
      <x:c r="F33" s="5">
        <x:f t="shared" si="4"/>
        <x:v>466999.59999999998</x:v>
      </x:c>
      <x:c r="G33" s="6"/>
      <x:c r="H33" s="299"/>
      <x:c r="I33" s="3" t="s">
        <x:v>1120</x:v>
      </x:c>
      <x:c r="J33" s="3" t="s">
        <x:v>167</x:v>
      </x:c>
      <x:c r="K33" s="4">
        <x:v>35000</x:v>
      </x:c>
      <x:c r="L33" s="4">
        <x:f>K33*0.1</x:f>
        <x:v>3500</x:v>
      </x:c>
      <x:c r="M33" s="5">
        <x:f t="shared" si="5"/>
        <x:v>38500</x:v>
      </x:c>
      <x:c r="N33" s="6"/>
    </x:row>
    <x:row r="34" spans="1:14" ht="20.100000000000001" customHeight="1">
      <x:c r="A34" s="299"/>
      <x:c r="B34" s="3"/>
      <x:c r="C34" s="3"/>
      <x:c r="D34" s="4"/>
      <x:c r="E34" s="4">
        <x:f>+D34*0.1</x:f>
        <x:v>0</x:v>
      </x:c>
      <x:c r="F34" s="5">
        <x:f t="shared" si="4"/>
        <x:v>0</x:v>
      </x:c>
      <x:c r="G34" s="6"/>
      <x:c r="H34" s="299"/>
      <x:c r="I34" s="3"/>
      <x:c r="J34" s="3"/>
      <x:c r="K34" s="4"/>
      <x:c r="L34" s="4"/>
      <x:c r="M34" s="5">
        <x:f t="shared" si="5"/>
        <x:v>0</x:v>
      </x:c>
      <x:c r="N34" s="6"/>
    </x:row>
    <x:row r="35" spans="1:14" ht="20.100000000000001" customHeight="1">
      <x:c r="A35" s="299"/>
      <x:c r="B35" s="3"/>
      <x:c r="C35" s="3"/>
      <x:c r="D35" s="44"/>
      <x:c r="E35" s="44"/>
      <x:c r="F35" s="5">
        <x:f t="shared" si="4"/>
        <x:v>0</x:v>
      </x:c>
      <x:c r="G35" s="6"/>
      <x:c r="H35" s="299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4"/>
        <x:v>0</x:v>
      </x:c>
      <x:c r="G36" s="6"/>
      <x:c r="H36" s="299"/>
      <x:c r="I36" s="3"/>
      <x:c r="J36" s="3"/>
      <x:c r="K36" s="4"/>
      <x:c r="L36" s="4"/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4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5385286</x:v>
      </x:c>
      <x:c r="E38" s="9">
        <x:f>SUM(E28:E37)</x:f>
        <x:v>349953.59999999998</x:v>
      </x:c>
      <x:c r="F38" s="10">
        <x:f>SUM(F28:F37)</x:f>
        <x:v>5735239.5999999996</x:v>
      </x:c>
      <x:c r="G38" s="11"/>
      <x:c r="H38" s="7"/>
      <x:c r="I38" s="8"/>
      <x:c r="J38" s="8"/>
      <x:c r="K38" s="9">
        <x:f>SUM(K28:K37)</x:f>
        <x:v>2770255</x:v>
      </x:c>
      <x:c r="L38" s="9">
        <x:f>SUM(L28:L37)</x:f>
        <x:v>137954.5</x:v>
      </x:c>
      <x:c r="M38" s="10">
        <x:f>SUM(M28:M37)</x:f>
        <x:v>2908209.5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65412116</x:v>
      </x:c>
      <x:c r="E39" s="14">
        <x:f>+E17+E22+E27+E38</x:f>
        <x:v>1910636.6000000001</x:v>
      </x:c>
      <x:c r="F39" s="15">
        <x:f>+F17+F22+F27+F38</x:f>
        <x:v>67322752.599999994</x:v>
      </x:c>
      <x:c r="G39" s="16"/>
      <x:c r="H39" s="12"/>
      <x:c r="I39" s="13"/>
      <x:c r="J39" s="13"/>
      <x:c r="K39" s="14">
        <x:f>+K17+K22+K27+K38</x:f>
        <x:v>70354545</x:v>
      </x:c>
      <x:c r="L39" s="14">
        <x:f>+L17+L22+L27+L38</x:f>
        <x:v>3742383.5</x:v>
      </x:c>
      <x:c r="M39" s="15">
        <x:f>+M17+M22+M27+M38</x:f>
        <x:v>74096928.5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33197884</x:v>
      </x:c>
      <x:c r="E40" s="25">
        <x:f>+E4-E39</x:f>
        <x:v>-520636.60000000009</x:v>
      </x:c>
      <x:c r="F40" s="26">
        <x:f>+F4-F39</x:f>
        <x:v>32677247.400000006</x:v>
      </x:c>
      <x:c r="G40" s="27"/>
      <x:c r="H40" s="23"/>
      <x:c r="I40" s="24"/>
      <x:c r="J40" s="24"/>
      <x:c r="K40" s="25">
        <x:f>+K4-K39</x:f>
        <x:v>9465455</x:v>
      </x:c>
      <x:c r="L40" s="25">
        <x:f>+L4-L39</x:f>
        <x:v>-3562383.5</x:v>
      </x:c>
      <x:c r="M40" s="26">
        <x:f>+M4-M39</x:f>
        <x:v>5903071.5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10" t="s">
        <x:v>144</x:v>
      </x:c>
      <x:c r="C42" s="110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10" t="s">
        <x:v>144</x:v>
      </x:c>
      <x:c r="J42" s="110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09" t="s">
        <x:v>151</x:v>
      </x:c>
      <x:c r="B43" s="38" t="s">
        <x:v>1679</x:v>
      </x:c>
      <x:c r="C43" s="38" t="s">
        <x:v>1030</x:v>
      </x:c>
      <x:c r="D43" s="39">
        <x:v>144328093</x:v>
      </x:c>
      <x:c r="E43" s="39">
        <x:v>10671907</x:v>
      </x:c>
      <x:c r="F43" s="40">
        <x:f t="shared" ref="F43:F57" si="6">+D43+E43</x:f>
        <x:v>155000000</x:v>
      </x:c>
      <x:c r="G43" s="18"/>
      <x:c r="H43" s="109" t="s">
        <x:v>151</x:v>
      </x:c>
      <x:c r="I43" s="38" t="s">
        <x:v>1679</x:v>
      </x:c>
      <x:c r="J43" s="38" t="s">
        <x:v>1030</x:v>
      </x:c>
      <x:c r="K43" s="39">
        <x:v>89053275</x:v>
      </x:c>
      <x:c r="L43" s="39">
        <x:v>946725</x:v>
      </x:c>
      <x:c r="M43" s="40">
        <x:f>+K43+L43</x:f>
        <x:v>90000000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730</x:v>
      </x:c>
      <x:c r="D44" s="20">
        <x:v>12476450</x:v>
      </x:c>
      <x:c r="E44" s="20">
        <x:f>D44*0.1</x:f>
        <x:v>1247645</x:v>
      </x:c>
      <x:c r="F44" s="21">
        <x:f t="shared" si="6"/>
        <x:v>13724095</x:v>
      </x:c>
      <x:c r="G44" s="22"/>
      <x:c r="H44" s="298" t="s">
        <x:v>148</x:v>
      </x:c>
      <x:c r="I44" s="19" t="s">
        <x:v>838</x:v>
      </x:c>
      <x:c r="J44" s="19" t="s">
        <x:v>1188</x:v>
      </x:c>
      <x:c r="K44" s="20">
        <x:v>8584150</x:v>
      </x:c>
      <x:c r="L44" s="20">
        <x:f>+K44*0.1</x:f>
        <x:v>858415</x:v>
      </x:c>
      <x:c r="M44" s="21">
        <x:f>+K44+L44</x:f>
        <x:v>9442565</x:v>
      </x:c>
      <x:c r="N44" s="22"/>
    </x:row>
    <x:row r="45" spans="1:14" ht="20.100000000000001" customHeight="1">
      <x:c r="A45" s="299"/>
      <x:c r="B45" s="3" t="s">
        <x:v>840</x:v>
      </x:c>
      <x:c r="C45" s="3" t="s">
        <x:v>383</x:v>
      </x:c>
      <x:c r="D45" s="4">
        <x:v>441600</x:v>
      </x:c>
      <x:c r="E45" s="4">
        <x:f>D45*0.1</x:f>
        <x:v>44160</x:v>
      </x:c>
      <x:c r="F45" s="5">
        <x:f t="shared" si="6"/>
        <x:v>485760</x:v>
      </x:c>
      <x:c r="G45" s="6"/>
      <x:c r="H45" s="299"/>
      <x:c r="I45" s="3" t="s">
        <x:v>867</x:v>
      </x:c>
      <x:c r="J45" s="3" t="s">
        <x:v>374</x:v>
      </x:c>
      <x:c r="K45" s="4">
        <x:v>20693700</x:v>
      </x:c>
      <x:c r="L45" s="4">
        <x:f>+K45*0.1</x:f>
        <x:v>2069370</x:v>
      </x:c>
      <x:c r="M45" s="5">
        <x:f>+K45+L45</x:f>
        <x:v>22763070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9724800</x:v>
      </x:c>
      <x:c r="E46" s="4">
        <x:f>D46*0.1</x:f>
        <x:v>972480</x:v>
      </x:c>
      <x:c r="F46" s="5">
        <x:f t="shared" si="6"/>
        <x:v>10697280</x:v>
      </x:c>
      <x:c r="G46" s="6"/>
      <x:c r="H46" s="299"/>
      <x:c r="I46" s="3" t="s">
        <x:v>840</x:v>
      </x:c>
      <x:c r="J46" s="3" t="s">
        <x:v>342</x:v>
      </x:c>
      <x:c r="K46" s="4"/>
      <x:c r="L46" s="4">
        <x:f>+INT(K46*0.1)</x:f>
        <x:v>0</x:v>
      </x:c>
      <x:c r="M46" s="5">
        <x:f t="shared" ref="M46:M57" si="7">+K46+L46</x:f>
        <x:v>0</x:v>
      </x:c>
      <x:c r="N46" s="6"/>
    </x:row>
    <x:row r="47" spans="1:14" ht="20.100000000000001" customHeight="1">
      <x:c r="A47" s="299"/>
      <x:c r="B47" s="3" t="s">
        <x:v>976</x:v>
      </x:c>
      <x:c r="C47" s="3"/>
      <x:c r="D47" s="4"/>
      <x:c r="E47" s="4">
        <x:f>D47*0.1</x:f>
        <x:v>0</x:v>
      </x:c>
      <x:c r="F47" s="5">
        <x:f t="shared" si="6"/>
        <x:v>0</x:v>
      </x:c>
      <x:c r="G47" s="6"/>
      <x:c r="H47" s="299"/>
      <x:c r="I47" s="3" t="s">
        <x:v>976</x:v>
      </x:c>
      <x:c r="J47" s="3" t="s">
        <x:v>337</x:v>
      </x:c>
      <x:c r="K47" s="4">
        <x:v>615000</x:v>
      </x:c>
      <x:c r="L47" s="4">
        <x:f t="shared" ref="L47:L57" si="8">+INT(K47*0.1)</x:f>
        <x:v>61500</x:v>
      </x:c>
      <x:c r="M47" s="5">
        <x:f t="shared" si="7"/>
        <x:v>676500</x:v>
      </x:c>
      <x:c r="N47" s="6"/>
    </x:row>
    <x:row r="48" spans="1:14" ht="20.100000000000001" customHeight="1">
      <x:c r="A48" s="299"/>
      <x:c r="B48" s="3" t="s">
        <x:v>1058</x:v>
      </x:c>
      <x:c r="C48" s="3" t="s">
        <x:v>386</x:v>
      </x:c>
      <x:c r="D48" s="4">
        <x:v>7683900</x:v>
      </x:c>
      <x:c r="E48" s="4">
        <x:f>D48*0.1</x:f>
        <x:v>768390</x:v>
      </x:c>
      <x:c r="F48" s="5">
        <x:f t="shared" si="6"/>
        <x:v>8452290</x:v>
      </x:c>
      <x:c r="G48" s="6"/>
      <x:c r="H48" s="299"/>
      <x:c r="I48" s="3" t="s">
        <x:v>1058</x:v>
      </x:c>
      <x:c r="J48" s="3" t="s">
        <x:v>98</x:v>
      </x:c>
      <x:c r="K48" s="4">
        <x:v>2944100</x:v>
      </x:c>
      <x:c r="L48" s="4">
        <x:f t="shared" si="8"/>
        <x:v>294410</x:v>
      </x:c>
      <x:c r="M48" s="5">
        <x:f t="shared" si="7"/>
        <x:v>3238510</x:v>
      </x:c>
      <x:c r="N48" s="6"/>
    </x:row>
    <x:row r="49" spans="1:14" ht="20.100000000000001" customHeight="1">
      <x:c r="A49" s="299"/>
      <x:c r="B49" s="3" t="s">
        <x:v>854</x:v>
      </x:c>
      <x:c r="C49" s="3" t="s">
        <x:v>733</x:v>
      </x:c>
      <x:c r="D49" s="4">
        <x:v>284900</x:v>
      </x:c>
      <x:c r="E49" s="4">
        <x:f t="shared" ref="E49:E57" si="9">+INT(D49*0.1)</x:f>
        <x:v>28490</x:v>
      </x:c>
      <x:c r="F49" s="5">
        <x:f t="shared" si="6"/>
        <x:v>313390</x:v>
      </x:c>
      <x:c r="G49" s="6"/>
      <x:c r="H49" s="299"/>
      <x:c r="I49" s="3" t="s">
        <x:v>967</x:v>
      </x:c>
      <x:c r="J49" s="3"/>
      <x:c r="K49" s="4"/>
      <x:c r="L49" s="4">
        <x:f t="shared" si="8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 t="s">
        <x:v>1705</x:v>
      </x:c>
      <x:c r="C50" s="3" t="s">
        <x:v>1139</x:v>
      </x:c>
      <x:c r="D50" s="4">
        <x:v>2666880</x:v>
      </x:c>
      <x:c r="E50" s="4">
        <x:f t="shared" si="9"/>
        <x:v>266688</x:v>
      </x:c>
      <x:c r="F50" s="5">
        <x:f t="shared" si="6"/>
        <x:v>2933568</x:v>
      </x:c>
      <x:c r="G50" s="6"/>
      <x:c r="H50" s="299"/>
      <x:c r="I50" s="3" t="s">
        <x:v>846</x:v>
      </x:c>
      <x:c r="J50" s="3" t="s">
        <x:v>728</x:v>
      </x:c>
      <x:c r="K50" s="4">
        <x:v>1824500</x:v>
      </x:c>
      <x:c r="L50" s="4">
        <x:f t="shared" si="8"/>
        <x:v>182450</x:v>
      </x:c>
      <x:c r="M50" s="5">
        <x:f t="shared" si="7"/>
        <x:v>2006950</x:v>
      </x:c>
      <x:c r="N50" s="6"/>
    </x:row>
    <x:row r="51" spans="1:14" ht="20.100000000000001" customHeight="1">
      <x:c r="A51" s="299"/>
      <x:c r="B51" s="3" t="s">
        <x:v>1119</x:v>
      </x:c>
      <x:c r="C51" s="3" t="s">
        <x:v>718</x:v>
      </x:c>
      <x:c r="D51" s="4">
        <x:v>324750</x:v>
      </x:c>
      <x:c r="E51" s="4">
        <x:f t="shared" si="9"/>
        <x:v>32475</x:v>
      </x:c>
      <x:c r="F51" s="5">
        <x:f t="shared" si="6"/>
        <x:v>357225</x:v>
      </x:c>
      <x:c r="G51" s="6"/>
      <x:c r="H51" s="299"/>
      <x:c r="I51" s="3" t="s">
        <x:v>938</x:v>
      </x:c>
      <x:c r="J51" s="3"/>
      <x:c r="K51" s="4"/>
      <x:c r="L51" s="4">
        <x:f t="shared" si="8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 t="s">
        <x:v>1173</x:v>
      </x:c>
      <x:c r="C52" s="3"/>
      <x:c r="D52" s="4"/>
      <x:c r="E52" s="4">
        <x:f t="shared" si="9"/>
        <x:v>0</x:v>
      </x:c>
      <x:c r="F52" s="5">
        <x:f t="shared" si="6"/>
        <x:v>0</x:v>
      </x:c>
      <x:c r="G52" s="6"/>
      <x:c r="H52" s="299"/>
      <x:c r="I52" s="3" t="s">
        <x:v>1705</x:v>
      </x:c>
      <x:c r="J52" s="3" t="s">
        <x:v>1167</x:v>
      </x:c>
      <x:c r="K52" s="4">
        <x:v>646000</x:v>
      </x:c>
      <x:c r="L52" s="4">
        <x:f t="shared" si="8"/>
        <x:v>64600</x:v>
      </x:c>
      <x:c r="M52" s="5">
        <x:f t="shared" si="7"/>
        <x:v>710600</x:v>
      </x:c>
      <x:c r="N52" s="6"/>
    </x:row>
    <x:row r="53" spans="1:14" ht="20.100000000000001" customHeight="1">
      <x:c r="A53" s="299"/>
      <x:c r="B53" s="3" t="s">
        <x:v>846</x:v>
      </x:c>
      <x:c r="C53" s="3" t="s">
        <x:v>191</x:v>
      </x:c>
      <x:c r="D53" s="4">
        <x:v>400000</x:v>
      </x:c>
      <x:c r="E53" s="4">
        <x:f t="shared" si="9"/>
        <x:v>40000</x:v>
      </x:c>
      <x:c r="F53" s="5">
        <x:f t="shared" si="6"/>
        <x:v>440000</x:v>
      </x:c>
      <x:c r="G53" s="6"/>
      <x:c r="H53" s="299"/>
      <x:c r="I53" s="3" t="s">
        <x:v>1119</x:v>
      </x:c>
      <x:c r="J53" s="3" t="s">
        <x:v>718</x:v>
      </x:c>
      <x:c r="K53" s="4">
        <x:v>754000</x:v>
      </x:c>
      <x:c r="L53" s="4">
        <x:f t="shared" si="8"/>
        <x:v>75400</x:v>
      </x:c>
      <x:c r="M53" s="5">
        <x:f t="shared" si="7"/>
        <x:v>829400</x:v>
      </x:c>
      <x:c r="N53" s="6"/>
    </x:row>
    <x:row r="54" spans="1:14" ht="20.100000000000001" customHeight="1">
      <x:c r="A54" s="299"/>
      <x:c r="B54" s="3" t="s">
        <x:v>846</x:v>
      </x:c>
      <x:c r="C54" s="3" t="s">
        <x:v>1175</x:v>
      </x:c>
      <x:c r="D54" s="4">
        <x:v>1198904</x:v>
      </x:c>
      <x:c r="E54" s="4">
        <x:f t="shared" si="9"/>
        <x:v>119890</x:v>
      </x:c>
      <x:c r="F54" s="5">
        <x:f t="shared" si="6"/>
        <x:v>1318794</x:v>
      </x:c>
      <x:c r="G54" s="6"/>
      <x:c r="H54" s="299"/>
      <x:c r="I54" s="3" t="s">
        <x:v>228</x:v>
      </x:c>
      <x:c r="J54" s="3" t="s">
        <x:v>1172</x:v>
      </x:c>
      <x:c r="K54" s="4">
        <x:v>390000</x:v>
      </x:c>
      <x:c r="L54" s="4">
        <x:f>+INT(K54*0.1)</x:f>
        <x:v>39000</x:v>
      </x:c>
      <x:c r="M54" s="5">
        <x:f>+K54+L54</x:f>
        <x:v>429000</x:v>
      </x:c>
      <x:c r="N54" s="6"/>
    </x:row>
    <x:row r="55" spans="1:14" ht="20.100000000000001" customHeight="1">
      <x:c r="A55" s="299"/>
      <x:c r="B55" s="3" t="s">
        <x:v>1170</x:v>
      </x:c>
      <x:c r="C55" s="3" t="s">
        <x:v>734</x:v>
      </x:c>
      <x:c r="D55" s="4">
        <x:v>700000</x:v>
      </x:c>
      <x:c r="E55" s="4">
        <x:f t="shared" si="9"/>
        <x:v>70000</x:v>
      </x:c>
      <x:c r="F55" s="5">
        <x:f t="shared" si="6"/>
        <x:v>770000</x:v>
      </x:c>
      <x:c r="G55" s="6"/>
      <x:c r="H55" s="299"/>
      <x:c r="I55" s="3"/>
      <x:c r="J55" s="3"/>
      <x:c r="K55" s="4"/>
      <x:c r="L55" s="4">
        <x:f t="shared" si="8"/>
        <x:v>0</x:v>
      </x:c>
      <x:c r="M55" s="5">
        <x:f t="shared" si="7"/>
        <x:v>0</x:v>
      </x:c>
      <x:c r="N55" s="6"/>
    </x:row>
    <x:row r="56" spans="1:14" ht="20.100000000000001" customHeight="1">
      <x:c r="A56" s="299"/>
      <x:c r="B56" s="3"/>
      <x:c r="C56" s="3"/>
      <x:c r="D56" s="4"/>
      <x:c r="E56" s="4">
        <x:f t="shared" si="9"/>
        <x:v>0</x:v>
      </x:c>
      <x:c r="F56" s="5">
        <x:f t="shared" si="6"/>
        <x:v>0</x:v>
      </x:c>
      <x:c r="G56" s="6"/>
      <x:c r="H56" s="299"/>
      <x:c r="I56" s="3"/>
      <x:c r="J56" s="3"/>
      <x:c r="K56" s="4"/>
      <x:c r="L56" s="4">
        <x:f t="shared" si="8"/>
        <x:v>0</x:v>
      </x:c>
      <x:c r="M56" s="5">
        <x:f t="shared" si="7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 t="shared" si="9"/>
        <x:v>0</x:v>
      </x:c>
      <x:c r="F57" s="5">
        <x:f t="shared" si="6"/>
        <x:v>0</x:v>
      </x:c>
      <x:c r="G57" s="6"/>
      <x:c r="H57" s="299"/>
      <x:c r="I57" s="3"/>
      <x:c r="J57" s="3"/>
      <x:c r="K57" s="4"/>
      <x:c r="L57" s="4">
        <x:f t="shared" si="8"/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/>
      <x:c r="F58" s="5"/>
      <x:c r="G58" s="6"/>
      <x:c r="H58" s="300"/>
      <x:c r="I58" s="3"/>
      <x:c r="J58" s="3"/>
      <x:c r="K58" s="4"/>
      <x:c r="L58" s="4"/>
      <x:c r="M58" s="5"/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35902184</x:v>
      </x:c>
      <x:c r="E59" s="9">
        <x:f>SUM(E44:E58)</x:f>
        <x:v>3590218</x:v>
      </x:c>
      <x:c r="F59" s="10">
        <x:f>SUM(F44:F58)</x:f>
        <x:v>39492402</x:v>
      </x:c>
      <x:c r="G59" s="11"/>
      <x:c r="H59" s="7" t="s">
        <x:v>155</x:v>
      </x:c>
      <x:c r="I59" s="8"/>
      <x:c r="J59" s="8"/>
      <x:c r="K59" s="9">
        <x:f>SUM(K44:K58)</x:f>
        <x:v>36451450</x:v>
      </x:c>
      <x:c r="L59" s="9">
        <x:f>SUM(L44:L58)</x:f>
        <x:v>3645145</x:v>
      </x:c>
      <x:c r="M59" s="10">
        <x:f>SUM(M44:M58)</x:f>
        <x:v>40096595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48145000</x:v>
      </x:c>
      <x:c r="E60" s="44"/>
      <x:c r="F60" s="45">
        <x:f>+D60+E60</x:f>
        <x:v>48145000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49640000</x:v>
      </x:c>
      <x:c r="L60" s="44"/>
      <x:c r="M60" s="45">
        <x:f>+K60+L60</x:f>
        <x:v>49640000</x:v>
      </x:c>
      <x:c r="N60" s="37"/>
    </x:row>
    <x:row r="61" spans="1:14" ht="20.100000000000001" customHeight="1">
      <x:c r="A61" s="299"/>
      <x:c r="B61" s="3" t="s">
        <x:v>735</x:v>
      </x:c>
      <x:c r="C61" s="3" t="s">
        <x:v>252</x:v>
      </x:c>
      <x:c r="D61" s="44">
        <x:v>-2640000</x:v>
      </x:c>
      <x:c r="E61" s="44">
        <x:f>+D61*0.1</x:f>
        <x:v>-264000</x:v>
      </x:c>
      <x:c r="F61" s="45">
        <x:f>+D61+E61</x:f>
        <x:v>-2904000</x:v>
      </x:c>
      <x:c r="G61" s="37" t="s">
        <x:v>1176</x:v>
      </x:c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 t="s">
        <x:v>1180</x:v>
      </x:c>
      <x:c r="C62" s="3" t="s">
        <x:v>1192</x:v>
      </x:c>
      <x:c r="D62" s="4">
        <x:v>5640000</x:v>
      </x:c>
      <x:c r="E62" s="4">
        <x:f>+D62*0.1</x:f>
        <x:v>564000</x:v>
      </x:c>
      <x:c r="F62" s="5">
        <x:f>+D62+E62</x:f>
        <x:v>6204000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51145000</x:v>
      </x:c>
      <x:c r="E64" s="9">
        <x:f>SUM(E60:E63)</x:f>
        <x:v>300000</x:v>
      </x:c>
      <x:c r="F64" s="10">
        <x:f>SUM(F60:F63)</x:f>
        <x:v>51445000</x:v>
      </x:c>
      <x:c r="G64" s="11"/>
      <x:c r="H64" s="7" t="s">
        <x:v>155</x:v>
      </x:c>
      <x:c r="I64" s="8"/>
      <x:c r="J64" s="8"/>
      <x:c r="K64" s="9">
        <x:f>SUM(K60:K63)</x:f>
        <x:v>49640000</x:v>
      </x:c>
      <x:c r="L64" s="9">
        <x:f>SUM(L60:L63)</x:f>
        <x:v>0</x:v>
      </x:c>
      <x:c r="M64" s="10">
        <x:f>SUM(M60:M63)</x:f>
        <x:v>49640000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>
        <x:v>600000</x:v>
      </x:c>
      <x:c r="L65" s="4">
        <x:f>+K65*0.1</x:f>
        <x:v>60000</x:v>
      </x:c>
      <x:c r="M65" s="5">
        <x:f>+K65+L65</x:f>
        <x:v>660000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600000</x:v>
      </x:c>
      <x:c r="L69" s="9">
        <x:f>SUM(L65:L68)</x:f>
        <x:v>60000</x:v>
      </x:c>
      <x:c r="M69" s="10">
        <x:f>SUM(M65:M68)</x:f>
        <x:v>660000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1310330</x:v>
      </x:c>
      <x:c r="E70" s="4"/>
      <x:c r="F70" s="5">
        <x:f t="shared" ref="F70:F79" si="10">+D70+E70</x:f>
        <x:v>1310330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2598000</x:v>
      </x:c>
      <x:c r="L70" s="4"/>
      <x:c r="M70" s="5">
        <x:f>+K70+L70</x:f>
        <x:v>2598000</x:v>
      </x:c>
      <x:c r="N70" s="6"/>
    </x:row>
    <x:row r="71" spans="1:14" ht="20.100000000000001" customHeight="1">
      <x:c r="A71" s="299"/>
      <x:c r="B71" s="3" t="s">
        <x:v>721</x:v>
      </x:c>
      <x:c r="C71" s="3" t="s">
        <x:v>167</x:v>
      </x:c>
      <x:c r="D71" s="4">
        <x:v>268000</x:v>
      </x:c>
      <x:c r="E71" s="4">
        <x:f>+D71*0.1</x:f>
        <x:v>26800</x:v>
      </x:c>
      <x:c r="F71" s="5">
        <x:f>+D71+E71</x:f>
        <x:v>294800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D72*0.1</x:f>
        <x:v>10000</x:v>
      </x:c>
      <x:c r="F72" s="5">
        <x:f>+D72+E72</x:f>
        <x:v>110000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2149500</x:v>
      </x:c>
      <x:c r="E73" s="4">
        <x:f>D73*0.1</x:f>
        <x:v>214950</x:v>
      </x:c>
      <x:c r="F73" s="5">
        <x:f>+D73+E73</x:f>
        <x:v>2364450</x:v>
      </x:c>
      <x:c r="G73" s="6"/>
      <x:c r="H73" s="299"/>
      <x:c r="I73" s="3" t="s">
        <x:v>1061</x:v>
      </x:c>
      <x:c r="J73" s="3" t="s">
        <x:v>167</x:v>
      </x:c>
      <x:c r="K73" s="4">
        <x:v>419000</x:v>
      </x:c>
      <x:c r="L73" s="4">
        <x:f>+K73*0.1</x:f>
        <x:v>41900</x:v>
      </x:c>
      <x:c r="M73" s="5">
        <x:f>+K73+L73</x:f>
        <x:v>460900</x:v>
      </x:c>
      <x:c r="N73" s="6"/>
    </x:row>
    <x:row r="74" spans="1:14" ht="20.100000000000001" customHeight="1">
      <x:c r="A74" s="299"/>
      <x:c r="B74" s="3" t="s">
        <x:v>926</x:v>
      </x:c>
      <x:c r="C74" s="3" t="s">
        <x:v>927</x:v>
      </x:c>
      <x:c r="D74" s="4">
        <x:v>367870</x:v>
      </x:c>
      <x:c r="E74" s="4"/>
      <x:c r="F74" s="5">
        <x:f>+D74+E74</x:f>
        <x:v>367870</x:v>
      </x:c>
      <x:c r="G74" s="6"/>
      <x:c r="H74" s="299"/>
      <x:c r="I74" s="3" t="s">
        <x:v>1047</x:v>
      </x:c>
      <x:c r="J74" s="3" t="s">
        <x:v>962</x:v>
      </x:c>
      <x:c r="K74" s="4">
        <x:v>1662000</x:v>
      </x:c>
      <x:c r="L74" s="4">
        <x:f>+K74*0.1</x:f>
        <x:v>166200</x:v>
      </x:c>
      <x:c r="M74" s="5">
        <x:f t="shared" ref="M74:M79" si="11">+K74+L74</x:f>
        <x:v>1828200</x:v>
      </x:c>
      <x:c r="N74" s="6"/>
    </x:row>
    <x:row r="75" spans="1:14" ht="20.100000000000001" customHeight="1">
      <x:c r="A75" s="299"/>
      <x:c r="B75" s="3" t="s">
        <x:v>1181</x:v>
      </x:c>
      <x:c r="C75" s="3" t="s">
        <x:v>817</x:v>
      </x:c>
      <x:c r="D75" s="4">
        <x:v>1000000</x:v>
      </x:c>
      <x:c r="E75" s="4">
        <x:f>D75*0.1</x:f>
        <x:v>100000</x:v>
      </x:c>
      <x:c r="F75" s="5">
        <x:f t="shared" si="10"/>
        <x:v>1100000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1"/>
        <x:v>110000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0"/>
        <x:v>0</x:v>
      </x:c>
      <x:c r="G76" s="6"/>
      <x:c r="H76" s="299"/>
      <x:c r="I76" s="3" t="s">
        <x:v>1193</x:v>
      </x:c>
      <x:c r="J76" s="3" t="s">
        <x:v>224</x:v>
      </x:c>
      <x:c r="K76" s="4">
        <x:v>400000</x:v>
      </x:c>
      <x:c r="L76" s="4">
        <x:f>+K76*0.1</x:f>
        <x:v>40000</x:v>
      </x:c>
      <x:c r="M76" s="5">
        <x:f t="shared" si="11"/>
        <x:v>440000</x:v>
      </x:c>
      <x:c r="N76" s="6" t="s">
        <x:v>729</x:v>
      </x:c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0"/>
        <x:v>0</x:v>
      </x:c>
      <x:c r="G77" s="6"/>
      <x:c r="H77" s="299"/>
      <x:c r="I77" s="3"/>
      <x:c r="J77" s="3"/>
      <x:c r="K77" s="4"/>
      <x:c r="L77" s="4"/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0"/>
        <x:v>0</x:v>
      </x:c>
      <x:c r="G78" s="6"/>
      <x:c r="H78" s="299"/>
      <x:c r="I78" s="3"/>
      <x:c r="J78" s="3"/>
      <x:c r="K78" s="4"/>
      <x:c r="L78" s="4"/>
      <x:c r="M78" s="5">
        <x:f t="shared" si="11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0"/>
        <x:v>0</x:v>
      </x:c>
      <x:c r="G79" s="6"/>
      <x:c r="H79" s="300"/>
      <x:c r="I79" s="3"/>
      <x:c r="J79" s="3"/>
      <x:c r="K79" s="4"/>
      <x:c r="L79" s="4"/>
      <x:c r="M79" s="5">
        <x:f t="shared" si="11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5195700</x:v>
      </x:c>
      <x:c r="E80" s="9">
        <x:f>SUM(E70:E79)</x:f>
        <x:v>351750</x:v>
      </x:c>
      <x:c r="F80" s="10">
        <x:f>SUM(F70:F79)</x:f>
        <x:v>5547450</x:v>
      </x:c>
      <x:c r="G80" s="11"/>
      <x:c r="H80" s="7" t="s">
        <x:v>155</x:v>
      </x:c>
      <x:c r="I80" s="8"/>
      <x:c r="J80" s="8"/>
      <x:c r="K80" s="9">
        <x:f>SUM(K70:K79)</x:f>
        <x:v>5727000</x:v>
      </x:c>
      <x:c r="L80" s="9">
        <x:f>SUM(L70:L79)</x:f>
        <x:v>308100</x:v>
      </x:c>
      <x:c r="M80" s="10">
        <x:f>SUM(M70:M79)</x:f>
        <x:v>6035100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92542884</x:v>
      </x:c>
      <x:c r="E81" s="14">
        <x:f>+E59+E64+E69+E80</x:f>
        <x:v>4271968</x:v>
      </x:c>
      <x:c r="F81" s="15">
        <x:f>+F59+F64+F69+F80</x:f>
        <x:v>96814852</x:v>
      </x:c>
      <x:c r="G81" s="16"/>
      <x:c r="H81" s="12"/>
      <x:c r="I81" s="13"/>
      <x:c r="J81" s="13"/>
      <x:c r="K81" s="14">
        <x:f>+K59+K64+K69+K80</x:f>
        <x:v>92418450</x:v>
      </x:c>
      <x:c r="L81" s="14">
        <x:f>+L59+L64+L69+L80</x:f>
        <x:v>4013245</x:v>
      </x:c>
      <x:c r="M81" s="15">
        <x:f>+M59+M64+M69+M80</x:f>
        <x:v>96431695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51785209</x:v>
      </x:c>
      <x:c r="E82" s="25">
        <x:f>+E43-E81</x:f>
        <x:v>6399939</x:v>
      </x:c>
      <x:c r="F82" s="26">
        <x:f>+F43-F81</x:f>
        <x:v>58185148</x:v>
      </x:c>
      <x:c r="G82" s="27"/>
      <x:c r="H82" s="23"/>
      <x:c r="I82" s="24"/>
      <x:c r="J82" s="24"/>
      <x:c r="K82" s="25">
        <x:f>+K43-K81</x:f>
        <x:v>-3365175</x:v>
      </x:c>
      <x:c r="L82" s="25">
        <x:f>+L43-L81</x:f>
        <x:v>-3066520</x:v>
      </x:c>
      <x:c r="M82" s="26">
        <x:f>+M43-M81</x:f>
        <x:v>-6431695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10" t="s">
        <x:v>144</x:v>
      </x:c>
      <x:c r="C84" s="110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10" t="s">
        <x:v>144</x:v>
      </x:c>
      <x:c r="J84" s="110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89218978</x:v>
      </x:c>
      <x:c r="E85" s="39">
        <x:v>781022</x:v>
      </x:c>
      <x:c r="F85" s="40">
        <x:f>+D85+E85</x:f>
        <x:v>90000000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1174</x:v>
      </x:c>
      <x:c r="D86" s="20">
        <x:v>2360213</x:v>
      </x:c>
      <x:c r="E86" s="20">
        <x:f>+D86*0.1</x:f>
        <x:v>236021.30000000002</x:v>
      </x:c>
      <x:c r="F86" s="21">
        <x:f t="shared" ref="F86:F91" si="12">+D86+E86</x:f>
        <x:v>2596234.2999999998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3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713</x:v>
      </x:c>
      <x:c r="D87" s="4">
        <x:v>9642800</x:v>
      </x:c>
      <x:c r="E87" s="4">
        <x:f>D87*0.1</x:f>
        <x:v>964280</x:v>
      </x:c>
      <x:c r="F87" s="5">
        <x:f t="shared" si="12"/>
        <x:v>10607080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955</x:v>
      </x:c>
      <x:c r="D88" s="4">
        <x:v>70000</x:v>
      </x:c>
      <x:c r="E88" s="4">
        <x:f t="shared" ref="E88:E93" si="14">+D88*0.1</x:f>
        <x:v>7000</x:v>
      </x:c>
      <x:c r="F88" s="5">
        <x:f t="shared" si="12"/>
        <x:v>77000</x:v>
      </x:c>
      <x:c r="G88" s="6"/>
      <x:c r="H88" s="299"/>
      <x:c r="I88" s="3"/>
      <x:c r="J88" s="3"/>
      <x:c r="K88" s="4"/>
      <x:c r="L88" s="4">
        <x:f t="shared" ref="L88:L100" si="15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386</x:v>
      </x:c>
      <x:c r="D89" s="4">
        <x:v>8792000</x:v>
      </x:c>
      <x:c r="E89" s="4">
        <x:f t="shared" si="14"/>
        <x:v>879200</x:v>
      </x:c>
      <x:c r="F89" s="5">
        <x:f t="shared" si="12"/>
        <x:v>9671200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 t="s">
        <x:v>976</x:v>
      </x:c>
      <x:c r="C90" s="3" t="s">
        <x:v>337</x:v>
      </x:c>
      <x:c r="D90" s="4">
        <x:v>76000</x:v>
      </x:c>
      <x:c r="E90" s="4">
        <x:f t="shared" si="14"/>
        <x:v>7600</x:v>
      </x:c>
      <x:c r="F90" s="5">
        <x:f t="shared" si="12"/>
        <x:v>83600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 t="s">
        <x:v>967</x:v>
      </x:c>
      <x:c r="C91" s="3"/>
      <x:c r="D91" s="4"/>
      <x:c r="E91" s="4">
        <x:f t="shared" si="14"/>
        <x:v>0</x:v>
      </x:c>
      <x:c r="F91" s="5">
        <x:f t="shared" si="12"/>
        <x:v>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 t="s">
        <x:v>1705</x:v>
      </x:c>
      <x:c r="C92" s="3" t="s">
        <x:v>1139</x:v>
      </x:c>
      <x:c r="D92" s="4"/>
      <x:c r="E92" s="4">
        <x:f t="shared" si="14"/>
        <x:v>0</x:v>
      </x:c>
      <x:c r="F92" s="5">
        <x:f>+D92+E92</x:f>
        <x:v>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 t="s">
        <x:v>718</x:v>
      </x:c>
      <x:c r="D93" s="4">
        <x:v>204500</x:v>
      </x:c>
      <x:c r="E93" s="4">
        <x:f t="shared" si="14"/>
        <x:v>20450</x:v>
      </x:c>
      <x:c r="F93" s="5">
        <x:f>+D93+E93</x:f>
        <x:v>224950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854</x:v>
      </x:c>
      <x:c r="C94" s="3" t="s">
        <x:v>676</x:v>
      </x:c>
      <x:c r="D94" s="4">
        <x:v>701820</x:v>
      </x:c>
      <x:c r="E94" s="4">
        <x:f t="shared" ref="E94:E100" si="16">+D94*0.1</x:f>
        <x:v>70182</x:v>
      </x:c>
      <x:c r="F94" s="5">
        <x:f t="shared" ref="F94:F100" si="17">+D94+E94</x:f>
        <x:v>772002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119</x:v>
      </x:c>
      <x:c r="D95" s="4">
        <x:v>1154500</x:v>
      </x:c>
      <x:c r="E95" s="4">
        <x:f t="shared" si="16"/>
        <x:v>115450</x:v>
      </x:c>
      <x:c r="F95" s="5">
        <x:f t="shared" si="17"/>
        <x:v>1269950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 t="shared" si="17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 t="shared" si="16"/>
        <x:v>0</x:v>
      </x:c>
      <x:c r="F97" s="5">
        <x:f t="shared" si="17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 t="shared" si="16"/>
        <x:v>0</x:v>
      </x:c>
      <x:c r="F98" s="5">
        <x:f t="shared" si="17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7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6"/>
        <x:v>0</x:v>
      </x:c>
      <x:c r="F100" s="5">
        <x:f t="shared" si="17"/>
        <x:v>0</x:v>
      </x:c>
      <x:c r="G100" s="6"/>
      <x:c r="H100" s="300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23001833</x:v>
      </x:c>
      <x:c r="E101" s="9">
        <x:f>SUM(E86:E100)</x:f>
        <x:v>2300183.2999999998</x:v>
      </x:c>
      <x:c r="F101" s="10">
        <x:f>SUM(F86:F100)</x:f>
        <x:v>25302016.300000001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17687500</x:v>
      </x:c>
      <x:c r="E102" s="4"/>
      <x:c r="F102" s="5">
        <x:f>+D102+E102</x:f>
        <x:v>17687500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695</x:v>
      </x:c>
      <x:c r="C103" s="3" t="s">
        <x:v>1127</x:v>
      </x:c>
      <x:c r="D103" s="4">
        <x:v>12950000</x:v>
      </x:c>
      <x:c r="E103" s="4"/>
      <x:c r="F103" s="5">
        <x:f>+D103+E103</x:f>
        <x:v>12950000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30637500</x:v>
      </x:c>
      <x:c r="E106" s="9">
        <x:f>SUM(E102:E105)</x:f>
        <x:v>0</x:v>
      </x:c>
      <x:c r="F106" s="10">
        <x:f>SUM(F102:F105)</x:f>
        <x:v>30637500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>
        <x:v>300000</x:v>
      </x:c>
      <x:c r="E107" s="4">
        <x:f>+D107*0.1</x:f>
        <x:v>30000</x:v>
      </x:c>
      <x:c r="F107" s="5">
        <x:f>+D107+E107</x:f>
        <x:v>330000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120000</x:v>
      </x:c>
      <x:c r="E108" s="4">
        <x:f>+D108*0.1</x:f>
        <x:v>12000</x:v>
      </x:c>
      <x:c r="F108" s="5">
        <x:f>+D108+E108</x:f>
        <x:v>132000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420000</x:v>
      </x:c>
      <x:c r="E111" s="9">
        <x:f>SUM(E107:E110)</x:f>
        <x:v>42000</x:v>
      </x:c>
      <x:c r="F111" s="10">
        <x:f>SUM(F107:F110)</x:f>
        <x:v>462000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304420</x:v>
      </x:c>
      <x:c r="E112" s="4"/>
      <x:c r="F112" s="5">
        <x:f t="shared" ref="F112:F117" si="18">+D112+E112</x:f>
        <x:v>304420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1765</x:v>
      </x:c>
      <x:c r="D113" s="4">
        <x:v>100000</x:v>
      </x:c>
      <x:c r="E113" s="4">
        <x:f>+D113*0.1</x:f>
        <x:v>10000</x:v>
      </x:c>
      <x:c r="F113" s="5">
        <x:f t="shared" si="18"/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 t="shared" si="18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938000</x:v>
      </x:c>
      <x:c r="E115" s="4">
        <x:f>+D115*0.1</x:f>
        <x:v>93800</x:v>
      </x:c>
      <x:c r="F115" s="5">
        <x:f t="shared" si="18"/>
        <x:v>1031800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126000</x:v>
      </x:c>
      <x:c r="E116" s="4">
        <x:f>+D116*0.1</x:f>
        <x:v>12600</x:v>
      </x:c>
      <x:c r="F116" s="5">
        <x:f t="shared" si="18"/>
        <x:v>138600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 t="s">
        <x:v>1169</x:v>
      </x:c>
      <x:c r="C117" s="3" t="s">
        <x:v>1187</x:v>
      </x:c>
      <x:c r="D117" s="4">
        <x:v>200000</x:v>
      </x:c>
      <x:c r="E117" s="4">
        <x:f>+D117*0.1</x:f>
        <x:v>20000</x:v>
      </x:c>
      <x:c r="F117" s="5">
        <x:f t="shared" si="18"/>
        <x:v>220000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1748420</x:v>
      </x:c>
      <x:c r="E122" s="9">
        <x:f>SUM(E112:E121)</x:f>
        <x:v>144400</x:v>
      </x:c>
      <x:c r="F122" s="10">
        <x:f>SUM(F112:F121)</x:f>
        <x:v>1892820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55807753</x:v>
      </x:c>
      <x:c r="E123" s="14">
        <x:f>+E101+E106+E111+E122</x:f>
        <x:v>2486583.2999999998</x:v>
      </x:c>
      <x:c r="F123" s="15">
        <x:f>+F101+F106+F111+F122</x:f>
        <x:v>58294336.299999997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33411225</x:v>
      </x:c>
      <x:c r="E124" s="25">
        <x:f>+E85-E123</x:f>
        <x:v>-1705561.2999999998</x:v>
      </x:c>
      <x:c r="F124" s="26">
        <x:f>+F85-F123</x:f>
        <x:v>31705663.700000003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10" t="s">
        <x:v>144</x:v>
      </x:c>
      <x:c r="C126" s="110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10" t="s">
        <x:v>144</x:v>
      </x:c>
      <x:c r="J126" s="110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09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9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9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0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9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0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9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0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9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0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9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0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1">+INT(D133*0.1)</x:f>
        <x:v>0</x:v>
      </x:c>
      <x:c r="F133" s="5">
        <x:f t="shared" si="19"/>
        <x:v>0</x:v>
      </x:c>
      <x:c r="G133" s="6"/>
      <x:c r="H133" s="299"/>
      <x:c r="I133" s="3"/>
      <x:c r="J133" s="3"/>
      <x:c r="K133" s="4"/>
      <x:c r="L133" s="4">
        <x:f t="shared" ref="L133:L142" si="22">+K133*0.1</x:f>
        <x:v>0</x:v>
      </x:c>
      <x:c r="M133" s="5">
        <x:f t="shared" si="20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1"/>
        <x:v>0</x:v>
      </x:c>
      <x:c r="F134" s="5">
        <x:f t="shared" si="19"/>
        <x:v>0</x:v>
      </x:c>
      <x:c r="G134" s="6"/>
      <x:c r="H134" s="299"/>
      <x:c r="I134" s="3"/>
      <x:c r="J134" s="3"/>
      <x:c r="K134" s="4"/>
      <x:c r="L134" s="4">
        <x:f t="shared" si="22"/>
        <x:v>0</x:v>
      </x:c>
      <x:c r="M134" s="5">
        <x:f t="shared" si="20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1"/>
        <x:v>0</x:v>
      </x:c>
      <x:c r="F135" s="5">
        <x:f t="shared" si="19"/>
        <x:v>0</x:v>
      </x:c>
      <x:c r="G135" s="6"/>
      <x:c r="H135" s="299"/>
      <x:c r="I135" s="3"/>
      <x:c r="J135" s="3"/>
      <x:c r="K135" s="4"/>
      <x:c r="L135" s="4">
        <x:f t="shared" si="22"/>
        <x:v>0</x:v>
      </x:c>
      <x:c r="M135" s="5">
        <x:f t="shared" si="20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1"/>
        <x:v>0</x:v>
      </x:c>
      <x:c r="F136" s="5">
        <x:f t="shared" si="19"/>
        <x:v>0</x:v>
      </x:c>
      <x:c r="G136" s="6"/>
      <x:c r="H136" s="299"/>
      <x:c r="I136" s="3"/>
      <x:c r="J136" s="3"/>
      <x:c r="K136" s="4"/>
      <x:c r="L136" s="4">
        <x:f t="shared" si="22"/>
        <x:v>0</x:v>
      </x:c>
      <x:c r="M136" s="5">
        <x:f t="shared" si="20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1"/>
        <x:v>0</x:v>
      </x:c>
      <x:c r="F137" s="5">
        <x:f t="shared" si="19"/>
        <x:v>0</x:v>
      </x:c>
      <x:c r="G137" s="6"/>
      <x:c r="H137" s="299"/>
      <x:c r="I137" s="3"/>
      <x:c r="J137" s="3"/>
      <x:c r="K137" s="4"/>
      <x:c r="L137" s="4">
        <x:f t="shared" si="22"/>
        <x:v>0</x:v>
      </x:c>
      <x:c r="M137" s="5">
        <x:f t="shared" si="20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1"/>
        <x:v>0</x:v>
      </x:c>
      <x:c r="F138" s="5">
        <x:f t="shared" si="19"/>
        <x:v>0</x:v>
      </x:c>
      <x:c r="G138" s="6"/>
      <x:c r="H138" s="299"/>
      <x:c r="I138" s="3"/>
      <x:c r="J138" s="3"/>
      <x:c r="K138" s="4"/>
      <x:c r="L138" s="4">
        <x:f t="shared" si="22"/>
        <x:v>0</x:v>
      </x:c>
      <x:c r="M138" s="5">
        <x:f t="shared" si="20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1"/>
        <x:v>0</x:v>
      </x:c>
      <x:c r="F139" s="5">
        <x:f t="shared" si="19"/>
        <x:v>0</x:v>
      </x:c>
      <x:c r="G139" s="6"/>
      <x:c r="H139" s="299"/>
      <x:c r="I139" s="3"/>
      <x:c r="J139" s="3"/>
      <x:c r="K139" s="4"/>
      <x:c r="L139" s="4">
        <x:f t="shared" si="22"/>
        <x:v>0</x:v>
      </x:c>
      <x:c r="M139" s="5">
        <x:f t="shared" si="20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1"/>
        <x:v>0</x:v>
      </x:c>
      <x:c r="F140" s="5">
        <x:f t="shared" si="19"/>
        <x:v>0</x:v>
      </x:c>
      <x:c r="G140" s="6"/>
      <x:c r="H140" s="299"/>
      <x:c r="I140" s="3"/>
      <x:c r="J140" s="3"/>
      <x:c r="K140" s="4"/>
      <x:c r="L140" s="4">
        <x:f t="shared" si="22"/>
        <x:v>0</x:v>
      </x:c>
      <x:c r="M140" s="5">
        <x:f t="shared" si="20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1"/>
        <x:v>0</x:v>
      </x:c>
      <x:c r="F141" s="5">
        <x:f t="shared" si="19"/>
        <x:v>0</x:v>
      </x:c>
      <x:c r="G141" s="6"/>
      <x:c r="H141" s="299"/>
      <x:c r="I141" s="3"/>
      <x:c r="J141" s="3"/>
      <x:c r="K141" s="4"/>
      <x:c r="L141" s="4">
        <x:f t="shared" si="22"/>
        <x:v>0</x:v>
      </x:c>
      <x:c r="M141" s="5">
        <x:f t="shared" si="20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2"/>
        <x:v>0</x:v>
      </x:c>
      <x:c r="M142" s="5">
        <x:f t="shared" si="20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3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3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3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4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3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4"/>
        <x:v>0</x:v>
      </x:c>
      <x:c r="G158" s="6"/>
      <x:c r="H158" s="299"/>
      <x:c r="I158" s="3"/>
      <x:c r="J158" s="3"/>
      <x:c r="K158" s="4"/>
      <x:c r="L158" s="4">
        <x:f t="shared" ref="L158:L163" si="25">+K158*0.1</x:f>
        <x:v>0</x:v>
      </x:c>
      <x:c r="M158" s="5">
        <x:f t="shared" si="23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4"/>
        <x:v>0</x:v>
      </x:c>
      <x:c r="G159" s="6"/>
      <x:c r="H159" s="299"/>
      <x:c r="I159" s="3"/>
      <x:c r="J159" s="3"/>
      <x:c r="K159" s="4"/>
      <x:c r="L159" s="4">
        <x:f t="shared" si="25"/>
        <x:v>0</x:v>
      </x:c>
      <x:c r="M159" s="5">
        <x:f t="shared" si="23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4"/>
        <x:v>0</x:v>
      </x:c>
      <x:c r="G160" s="6"/>
      <x:c r="H160" s="299"/>
      <x:c r="I160" s="3"/>
      <x:c r="J160" s="3"/>
      <x:c r="K160" s="4"/>
      <x:c r="L160" s="4">
        <x:f t="shared" si="25"/>
        <x:v>0</x:v>
      </x:c>
      <x:c r="M160" s="5">
        <x:f t="shared" si="23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4"/>
        <x:v>0</x:v>
      </x:c>
      <x:c r="G161" s="6"/>
      <x:c r="H161" s="299"/>
      <x:c r="I161" s="3"/>
      <x:c r="J161" s="3"/>
      <x:c r="K161" s="4"/>
      <x:c r="L161" s="4">
        <x:f t="shared" si="25"/>
        <x:v>0</x:v>
      </x:c>
      <x:c r="M161" s="5">
        <x:f t="shared" si="23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4"/>
        <x:v>0</x:v>
      </x:c>
      <x:c r="G162" s="6"/>
      <x:c r="H162" s="299"/>
      <x:c r="I162" s="3"/>
      <x:c r="J162" s="3"/>
      <x:c r="K162" s="4"/>
      <x:c r="L162" s="4">
        <x:f t="shared" si="25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4"/>
        <x:v>0</x:v>
      </x:c>
      <x:c r="G163" s="6"/>
      <x:c r="H163" s="300"/>
      <x:c r="I163" s="3"/>
      <x:c r="J163" s="3"/>
      <x:c r="K163" s="4"/>
      <x:c r="L163" s="4">
        <x:f t="shared" si="25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72910847</x:v>
      </x:c>
      <x:c r="E169" s="2">
        <x:f>+E17+E59+E101+E143</x:f>
        <x:v>7291084.2999999998</x:v>
      </x:c>
      <x:c r="F169" s="2">
        <x:f>+F17+F59+F101+F143</x:f>
        <x:v>80201931.299999997</x:v>
      </x:c>
      <x:c r="K169" s="2">
        <x:f>+K17+K59+K101+K143</x:f>
        <x:v>61823540</x:v>
      </x:c>
      <x:c r="L169" s="2">
        <x:f>+L17+L59+L101+L143</x:f>
        <x:v>6182354</x:v>
      </x:c>
      <x:c r="M169" s="2">
        <x:f>+M17+M59+M101+M143</x:f>
        <x:v>68005894</x:v>
      </x:c>
    </x:row>
    <x:row r="170" spans="1:13">
      <x:c r="A170" s="1" t="s">
        <x:v>153</x:v>
      </x:c>
      <x:c r="D170" s="2">
        <x:f>+D22+D64+D106+D148</x:f>
        <x:v>126202500</x:v>
      </x:c>
      <x:c r="E170" s="2">
        <x:f>+E22+E64+E106+E148</x:f>
        <x:v>300000</x:v>
      </x:c>
      <x:c r="F170" s="2">
        <x:f>+F22+F64+F106+F148</x:f>
        <x:v>126502500</x:v>
      </x:c>
      <x:c r="K170" s="2">
        <x:f>+K22+K64+K106+K148</x:f>
        <x:v>91852200</x:v>
      </x:c>
      <x:c r="L170" s="2">
        <x:f>+L22+L64+L106+L148</x:f>
        <x:v>1067220</x:v>
      </x:c>
      <x:c r="M170" s="2">
        <x:f>+M22+M64+M106+M148</x:f>
        <x:v>92919420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2320000</x:v>
      </x:c>
      <x:c r="E171" s="2">
        <x:f>+E27+E69+E111+E153</x:f>
        <x:v>232000</x:v>
      </x:c>
      <x:c r="F171" s="2">
        <x:f>+F27+F69+F111+F153</x:f>
        <x:v>2552000</x:v>
      </x:c>
      <x:c r="H171" s="1"/>
      <x:c r="I171" s="1"/>
      <x:c r="J171" s="1"/>
      <x:c r="K171" s="2">
        <x:f>+K27+K69+K111+K153</x:f>
        <x:v>600000</x:v>
      </x:c>
      <x:c r="L171" s="2">
        <x:f>+L27+L69+L111+L153</x:f>
        <x:v>60000</x:v>
      </x:c>
      <x:c r="M171" s="2">
        <x:f>+M27+M69+M111+M153</x:f>
        <x:v>660000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12329406</x:v>
      </x:c>
      <x:c r="E172" s="2">
        <x:f>+E38+E80+E122+E164</x:f>
        <x:v>846103.59999999998</x:v>
      </x:c>
      <x:c r="F172" s="2">
        <x:f>+F38+F80+F122+F164</x:f>
        <x:v>13175509.6</x:v>
      </x:c>
      <x:c r="H172" s="1"/>
      <x:c r="I172" s="1"/>
      <x:c r="J172" s="1"/>
      <x:c r="K172" s="2">
        <x:f>+K38+K80+K122+K164</x:f>
        <x:v>8497255</x:v>
      </x:c>
      <x:c r="L172" s="2">
        <x:f>+L38+L80+L122+L164</x:f>
        <x:v>446054.5</x:v>
      </x:c>
      <x:c r="M172" s="2">
        <x:f>+M38+M80+M122+M164</x:f>
        <x:v>8943309.5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213762753</x:v>
      </x:c>
      <x:c r="E173" s="2">
        <x:f>SUM(E169:E172)</x:f>
        <x:v>8669187.9000000004</x:v>
      </x:c>
      <x:c r="F173" s="2">
        <x:f>SUM(F169:F172)</x:f>
        <x:v>222431940.90000001</x:v>
      </x:c>
      <x:c r="H173" s="1"/>
      <x:c r="I173" s="1"/>
      <x:c r="J173" s="1"/>
      <x:c r="K173" s="2">
        <x:f>SUM(K169:K172)</x:f>
        <x:v>162772995</x:v>
      </x:c>
      <x:c r="L173" s="2">
        <x:f>SUM(L169:L172)</x:f>
        <x:v>7755628.5</x:v>
      </x:c>
      <x:c r="M173" s="2">
        <x:f>SUM(M169:M172)</x:f>
        <x:v>170528623.5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134734387</x:v>
      </x:c>
      <x:c r="E176" s="2">
        <x:f>+E169+L169</x:f>
        <x:v>13473438.300000001</x:v>
      </x:c>
      <x:c r="F176" s="2">
        <x:f>+F169+M169</x:f>
        <x:v>148207825.30000001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6">+D170+K170</x:f>
        <x:v>218054700</x:v>
      </x:c>
      <x:c r="E177" s="2">
        <x:f t="shared" si="26"/>
        <x:v>1367220</x:v>
      </x:c>
      <x:c r="F177" s="2">
        <x:f t="shared" si="26"/>
        <x:v>219421920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6"/>
        <x:v>2920000</x:v>
      </x:c>
      <x:c r="E178" s="2">
        <x:f t="shared" si="26"/>
        <x:v>292000</x:v>
      </x:c>
      <x:c r="F178" s="2">
        <x:f t="shared" si="26"/>
        <x:v>3212000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6"/>
        <x:v>20826661</x:v>
      </x:c>
      <x:c r="E179" s="2">
        <x:f t="shared" si="26"/>
        <x:v>1292158.1000000001</x:v>
      </x:c>
      <x:c r="F179" s="2">
        <x:f t="shared" si="26"/>
        <x:v>22118819.100000001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376535748</x:v>
      </x:c>
      <x:c r="E180" s="2">
        <x:f>SUM(E176:E179)</x:f>
        <x:v>16424816.4</x:v>
      </x:c>
      <x:c r="F180" s="2">
        <x:f>SUM(F176:F179)</x:f>
        <x:v>392960564.40000004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501030346</x:v>
      </x:c>
      <x:c r="E181" s="2">
        <x:f>E4+E43+E85+L4+L43+L85</x:f>
        <x:v>13969654</x:v>
      </x:c>
      <x:c r="F181" s="2">
        <x:f>F4+F43+F85+M4+M43+M85</x:f>
        <x:v>515000000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124494598</x:v>
      </x:c>
      <x:c r="E182" s="2">
        <x:f>+E181-E180</x:f>
        <x:v>-2455162.4000000004</x:v>
      </x:c>
      <x:c r="F182" s="2">
        <x:f>+F181-F180</x:f>
        <x:v>122039435.59999996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0:A79"/>
    <x:mergeCell ref="H70:H79"/>
    <x:mergeCell ref="A83:G83"/>
    <x:mergeCell ref="H83:N83"/>
    <x:mergeCell ref="A86:A100"/>
    <x:mergeCell ref="H86:H100"/>
    <x:mergeCell ref="A44:A58"/>
    <x:mergeCell ref="H44:H58"/>
    <x:mergeCell ref="A60:A63"/>
    <x:mergeCell ref="H60:H63"/>
    <x:mergeCell ref="A65:A68"/>
    <x:mergeCell ref="H65:H68"/>
    <x:mergeCell ref="A23:A26"/>
    <x:mergeCell ref="H23:H26"/>
    <x:mergeCell ref="A28:A37"/>
    <x:mergeCell ref="H28:H37"/>
    <x:mergeCell ref="A41:G41"/>
    <x:mergeCell ref="H41:N4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S22"/>
  <x:sheetViews>
    <x:sheetView view="pageBreakPreview" topLeftCell="A1" zoomScaleNormal="100" zoomScaleSheetLayoutView="100" workbookViewId="0">
      <x:selection activeCell="E7" activeCellId="0" sqref="E7:E9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1769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11"/>
      <x:c r="C2" s="111"/>
      <x:c r="D2" s="114"/>
      <x:c r="E2" s="111"/>
      <x:c r="F2" s="111"/>
      <x:c r="G2" s="111"/>
      <x:c r="H2" s="111"/>
      <x:c r="I2" s="111"/>
      <x:c r="J2" s="111"/>
      <x:c r="K2" s="111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13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634</x:v>
      </x:c>
      <x:c r="C5" s="63" t="s">
        <x:v>901</x:v>
      </x:c>
      <x:c r="D5" s="115" t="s">
        <x:v>97</x:v>
      </x:c>
      <x:c r="E5" s="74">
        <x:f>'20년07월(세부내역)'!D4</x:f>
        <x:v>99997000</x:v>
      </x:c>
      <x:c r="F5" s="67">
        <x:f>'20년07월(세부내역)'!D17</x:f>
        <x:v>20692500</x:v>
      </x:c>
      <x:c r="G5" s="67">
        <x:f>'20년07월(세부내역)'!D22</x:f>
        <x:v>48970000</x:v>
      </x:c>
      <x:c r="H5" s="67">
        <x:f>'20년07월(세부내역)'!D27</x:f>
        <x:v>1360000</x:v>
      </x:c>
      <x:c r="I5" s="67">
        <x:f>'20년07월(세부내역)'!D38</x:f>
        <x:v>6529065</x:v>
      </x:c>
      <x:c r="J5" s="75">
        <x:f>+SUM(F5:I5)</x:f>
        <x:v>77551565</x:v>
      </x:c>
      <x:c r="K5" s="9">
        <x:f>E5-J5</x:f>
        <x:v>22445435</x:v>
      </x:c>
      <x:c r="L5" s="67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120</x:v>
      </x:c>
      <x:c r="E6" s="74">
        <x:f>'20년07월(세부내역)'!K4</x:f>
        <x:v>86804000</x:v>
      </x:c>
      <x:c r="F6" s="59">
        <x:f>+'20년07월(세부내역)'!K17</x:f>
        <x:v>23512490</x:v>
      </x:c>
      <x:c r="G6" s="59">
        <x:f>'20년07월(세부내역)'!K22</x:f>
        <x:v>45361000</x:v>
      </x:c>
      <x:c r="H6" s="59">
        <x:f>'20년07월(세부내역)'!K27</x:f>
        <x:v>650000</x:v>
      </x:c>
      <x:c r="I6" s="59">
        <x:f>'20년07월(세부내역)'!K38</x:f>
        <x:v>2529609</x:v>
      </x:c>
      <x:c r="J6" s="75">
        <x:f>+SUM(F6:I6)</x:f>
        <x:v>72053099</x:v>
      </x:c>
      <x:c r="K6" s="9">
        <x:f>E6-J6</x:f>
        <x:v>14750901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111</x:v>
      </x:c>
      <x:c r="E7" s="74">
        <x:f>'20년07월(세부내역)'!D43</x:f>
        <x:v>142465795</x:v>
      </x:c>
      <x:c r="F7" s="59">
        <x:f>+'20년07월(세부내역)'!D59</x:f>
        <x:v>123604470</x:v>
      </x:c>
      <x:c r="G7" s="59">
        <x:f>'20년07월(세부내역)'!D64</x:f>
        <x:v>58860000</x:v>
      </x:c>
      <x:c r="H7" s="59">
        <x:f>'20년07월(세부내역)'!D69</x:f>
        <x:v>300000</x:v>
      </x:c>
      <x:c r="I7" s="59">
        <x:f>'20년07월(세부내역)'!D80</x:f>
        <x:v>3249420</x:v>
      </x:c>
      <x:c r="J7" s="75">
        <x:f>+SUM(F7:I7)</x:f>
        <x:v>186013890</x:v>
      </x:c>
      <x:c r="K7" s="76">
        <x:f>E7-J7</x:f>
        <x:v>-43548095</x:v>
      </x:c>
      <x:c r="L7" s="119" t="s">
        <x:v>1771</x:v>
      </x:c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108</x:v>
      </x:c>
      <x:c r="E8" s="74">
        <x:f>'20년07월(세부내역)'!K43</x:f>
        <x:v>79158467</x:v>
      </x:c>
      <x:c r="F8" s="59">
        <x:f>'20년07월(세부내역)'!K59</x:f>
        <x:v>73509070</x:v>
      </x:c>
      <x:c r="G8" s="59">
        <x:f>'20년07월(세부내역)'!K64</x:f>
        <x:v>45810000</x:v>
      </x:c>
      <x:c r="H8" s="59">
        <x:f>'20년07월(세부내역)'!K69</x:f>
        <x:v>80000</x:v>
      </x:c>
      <x:c r="I8" s="59">
        <x:f>'20년07월(세부내역)'!K80</x:f>
        <x:v>3672960</x:v>
      </x:c>
      <x:c r="J8" s="75">
        <x:f>+SUM(F8:I8)</x:f>
        <x:v>123072030</x:v>
      </x:c>
      <x:c r="K8" s="76">
        <x:f>E8-J8</x:f>
        <x:v>-43913563</x:v>
      </x:c>
      <x:c r="L8" s="119" t="s">
        <x:v>1721</x:v>
      </x:c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101</x:v>
      </x:c>
      <x:c r="E9" s="74">
        <x:f>'20년07월(세부내역)'!D85</x:f>
        <x:v>79305758</x:v>
      </x:c>
      <x:c r="F9" s="59">
        <x:f>'20년07월(세부내역)'!D101</x:f>
        <x:v>79576336</x:v>
      </x:c>
      <x:c r="G9" s="59">
        <x:f>'20년07월(세부내역)'!D106</x:f>
        <x:v>32855000</x:v>
      </x:c>
      <x:c r="H9" s="59">
        <x:f>'20년07월(세부내역)'!D111</x:f>
        <x:v>360000</x:v>
      </x:c>
      <x:c r="I9" s="59">
        <x:f>'20년07월(세부내역)'!D122</x:f>
        <x:v>2024060</x:v>
      </x:c>
      <x:c r="J9" s="75">
        <x:f>+SUM(F9:I9)</x:f>
        <x:v>114815396</x:v>
      </x:c>
      <x:c r="K9" s="76">
        <x:f>E9-J9</x:f>
        <x:v>-35509638</x:v>
      </x:c>
      <x:c r="L9" s="119" t="s">
        <x:v>1770</x:v>
      </x:c>
    </x:row>
    <x:row r="10" spans="1:12" ht="30" customHeight="1">
      <x:c r="A10" s="64"/>
      <x:c r="B10" s="64" t="s">
        <x:v>1690</x:v>
      </x:c>
      <x:c r="C10" s="64"/>
      <x:c r="D10" s="64"/>
      <x:c r="E10" s="68">
        <x:f t="shared" ref="E10:K10" si="0">SUM(E5:E9)</x:f>
        <x:v>487731020</x:v>
      </x:c>
      <x:c r="F10" s="66">
        <x:f t="shared" si="0"/>
        <x:v>320894866</x:v>
      </x:c>
      <x:c r="G10" s="66">
        <x:f t="shared" si="0"/>
        <x:v>231856000</x:v>
      </x:c>
      <x:c r="H10" s="66">
        <x:f t="shared" si="0"/>
        <x:v>2750000</x:v>
      </x:c>
      <x:c r="I10" s="66">
        <x:f t="shared" si="0"/>
        <x:v>18005114</x:v>
      </x:c>
      <x:c r="J10" s="69">
        <x:f t="shared" si="0"/>
        <x:v>573505980</x:v>
      </x:c>
      <x:c r="K10" s="120">
        <x:f t="shared" si="0"/>
        <x:v>-85774960</x:v>
      </x:c>
      <x:c r="L10" s="66"/>
    </x:row>
    <x:row r="22" spans="1:19" s="2" customFormat="1">
      <x:c r="A22" s="1"/>
      <x:c r="B22" s="1"/>
      <x:c r="C22" s="1"/>
      <x:c r="D22" s="1"/>
      <x:c r="E22" s="1"/>
      <x:c r="J22" s="1"/>
      <x:c r="K22" s="1"/>
      <x:c r="M22" s="1"/>
      <x:c r="N22" s="1"/>
      <x:c r="O22" s="1"/>
      <x:c r="P22" s="1"/>
      <x:c r="Q22" s="1"/>
      <x:c r="R22" s="1"/>
      <x:c r="S22" s="1"/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E3:E4"/>
    <x:mergeCell ref="F3:J3"/>
    <x:mergeCell ref="K3:K4"/>
    <x:mergeCell ref="L3:L4"/>
    <x:mergeCell ref="D3:D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/>
  <x:dimension ref="A1:N182"/>
  <x:sheetViews>
    <x:sheetView view="pageBreakPreview" topLeftCell="A37" zoomScaleNormal="100" zoomScaleSheetLayoutView="100" workbookViewId="0">
      <x:selection activeCell="D74" activeCellId="0" sqref="D74:F7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1767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13" t="s">
        <x:v>144</x:v>
      </x:c>
      <x:c r="C3" s="113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13" t="s">
        <x:v>144</x:v>
      </x:c>
      <x:c r="J3" s="113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99997000</x:v>
      </x:c>
      <x:c r="E4" s="39">
        <x:v>3000</x:v>
      </x:c>
      <x:c r="F4" s="40">
        <x:f>+D4+E4</x:f>
        <x:v>100000000</x:v>
      </x:c>
      <x:c r="G4" s="42"/>
      <x:c r="H4" s="112" t="s">
        <x:v>151</x:v>
      </x:c>
      <x:c r="I4" s="38" t="s">
        <x:v>1679</x:v>
      </x:c>
      <x:c r="J4" s="38" t="s">
        <x:v>1030</x:v>
      </x:c>
      <x:c r="K4" s="39">
        <x:v>86804000</x:v>
      </x:c>
      <x:c r="L4" s="39">
        <x:v>196000</x:v>
      </x:c>
      <x:c r="M4" s="40">
        <x:f>+K4+L4</x:f>
        <x:v>87000000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/>
      <x:c r="D5" s="20"/>
      <x:c r="E5" s="20">
        <x:f>+D5*0.1</x:f>
        <x:v>0</x:v>
      </x:c>
      <x:c r="F5" s="21">
        <x:f>+D5+E5</x:f>
        <x:v>0</x:v>
      </x:c>
      <x:c r="G5" s="22"/>
      <x:c r="H5" s="298" t="s">
        <x:v>148</x:v>
      </x:c>
      <x:c r="I5" s="19" t="s">
        <x:v>838</x:v>
      </x:c>
      <x:c r="J5" s="19" t="s">
        <x:v>1188</x:v>
      </x:c>
      <x:c r="K5" s="20">
        <x:v>1522710</x:v>
      </x:c>
      <x:c r="L5" s="20">
        <x:f t="shared" ref="L5:L14" si="0">+K5*0.1</x:f>
        <x:v>152271</x:v>
      </x:c>
      <x:c r="M5" s="21">
        <x:f t="shared" ref="M5:M21" si="1">+K5+L5</x:f>
        <x:v>1674981</x:v>
      </x:c>
      <x:c r="N5" s="22"/>
    </x:row>
    <x:row r="6" spans="1:14" ht="20.100000000000001" customHeight="1">
      <x:c r="A6" s="299"/>
      <x:c r="B6" s="3" t="s">
        <x:v>867</x:v>
      </x:c>
      <x:c r="C6" s="3" t="s">
        <x:v>384</x:v>
      </x:c>
      <x:c r="D6" s="4">
        <x:v>6002700</x:v>
      </x:c>
      <x:c r="E6" s="4">
        <x:f t="shared" ref="E6:E16" si="2">+D6*0.1</x:f>
        <x:v>600270</x:v>
      </x:c>
      <x:c r="F6" s="5">
        <x:f>+D6+E6</x:f>
        <x:v>6602970</x:v>
      </x:c>
      <x:c r="G6" s="6"/>
      <x:c r="H6" s="299"/>
      <x:c r="I6" s="3" t="s">
        <x:v>867</x:v>
      </x:c>
      <x:c r="J6" s="3" t="s">
        <x:v>384</x:v>
      </x:c>
      <x:c r="K6" s="4">
        <x:v>14535600</x:v>
      </x:c>
      <x:c r="L6" s="4">
        <x:f t="shared" si="0"/>
        <x:v>1453560</x:v>
      </x:c>
      <x:c r="M6" s="5">
        <x:f t="shared" si="1"/>
        <x:v>15989160</x:v>
      </x:c>
      <x:c r="N6" s="6"/>
    </x:row>
    <x:row r="7" spans="1:14" ht="20.100000000000001" customHeight="1">
      <x:c r="A7" s="299"/>
      <x:c r="B7" s="3" t="s">
        <x:v>1150</x:v>
      </x:c>
      <x:c r="C7" s="3"/>
      <x:c r="D7" s="4"/>
      <x:c r="E7" s="4">
        <x:f t="shared" si="2"/>
        <x:v>0</x:v>
      </x:c>
      <x:c r="F7" s="5">
        <x:f>+D7+E7</x:f>
        <x:v>0</x:v>
      </x:c>
      <x:c r="G7" s="6"/>
      <x:c r="H7" s="299"/>
      <x:c r="I7" s="3" t="s">
        <x:v>1119</x:v>
      </x:c>
      <x:c r="J7" s="3" t="s">
        <x:v>1171</x:v>
      </x:c>
      <x:c r="K7" s="4">
        <x:v>2133800</x:v>
      </x:c>
      <x:c r="L7" s="4">
        <x:f t="shared" si="0"/>
        <x:v>213380</x:v>
      </x:c>
      <x:c r="M7" s="5">
        <x:f t="shared" si="1"/>
        <x:v>2347180</x:v>
      </x:c>
      <x:c r="N7" s="6"/>
    </x:row>
    <x:row r="8" spans="1:14" ht="20.100000000000001" customHeight="1">
      <x:c r="A8" s="299"/>
      <x:c r="B8" s="3" t="s">
        <x:v>840</x:v>
      </x:c>
      <x:c r="C8" s="3"/>
      <x:c r="D8" s="4"/>
      <x:c r="E8" s="4">
        <x:f t="shared" si="2"/>
        <x:v>0</x:v>
      </x:c>
      <x:c r="F8" s="5">
        <x:f t="shared" ref="F8:F16" si="3">+D8+E8</x:f>
        <x:v>0</x:v>
      </x:c>
      <x:c r="G8" s="6"/>
      <x:c r="H8" s="299"/>
      <x:c r="I8" s="3" t="s">
        <x:v>976</x:v>
      </x:c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 t="s">
        <x:v>854</x:v>
      </x:c>
      <x:c r="C9" s="3" t="s">
        <x:v>738</x:v>
      </x:c>
      <x:c r="D9" s="4">
        <x:v>542400</x:v>
      </x:c>
      <x:c r="E9" s="4">
        <x:f t="shared" si="2"/>
        <x:v>54240</x:v>
      </x:c>
      <x:c r="F9" s="5">
        <x:f t="shared" si="3"/>
        <x:v>596640</x:v>
      </x:c>
      <x:c r="G9" s="6"/>
      <x:c r="H9" s="299"/>
      <x:c r="I9" s="3" t="s">
        <x:v>840</x:v>
      </x:c>
      <x:c r="J9" s="3" t="s">
        <x:v>383</x:v>
      </x:c>
      <x:c r="K9" s="4">
        <x:v>558000</x:v>
      </x:c>
      <x:c r="L9" s="4">
        <x:f t="shared" si="0"/>
        <x:v>55800</x:v>
      </x:c>
      <x:c r="M9" s="5">
        <x:f t="shared" si="1"/>
        <x:v>613800</x:v>
      </x:c>
      <x:c r="N9" s="6"/>
    </x:row>
    <x:row r="10" spans="1:14" ht="20.100000000000001" customHeight="1">
      <x:c r="A10" s="299"/>
      <x:c r="B10" s="3" t="s">
        <x:v>1052</x:v>
      </x:c>
      <x:c r="C10" s="3"/>
      <x:c r="D10" s="4"/>
      <x:c r="E10" s="4">
        <x:f t="shared" si="2"/>
        <x:v>0</x:v>
      </x:c>
      <x:c r="F10" s="5">
        <x:f t="shared" si="3"/>
        <x:v>0</x:v>
      </x:c>
      <x:c r="G10" s="6"/>
      <x:c r="H10" s="299"/>
      <x:c r="I10" s="3" t="s">
        <x:v>967</x:v>
      </x:c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3" t="s">
        <x:v>864</x:v>
      </x:c>
      <x:c r="C11" s="3" t="s">
        <x:v>747</x:v>
      </x:c>
      <x:c r="D11" s="4">
        <x:v>4395500</x:v>
      </x:c>
      <x:c r="E11" s="4">
        <x:f t="shared" si="2"/>
        <x:v>439550</x:v>
      </x:c>
      <x:c r="F11" s="5">
        <x:f t="shared" si="3"/>
        <x:v>4835050</x:v>
      </x:c>
      <x:c r="G11" s="6"/>
      <x:c r="H11" s="299"/>
      <x:c r="I11" s="3" t="s">
        <x:v>846</x:v>
      </x:c>
      <x:c r="J11" s="3" t="s">
        <x:v>746</x:v>
      </x:c>
      <x:c r="K11" s="4">
        <x:v>357100</x:v>
      </x:c>
      <x:c r="L11" s="4">
        <x:f t="shared" si="0"/>
        <x:v>35710</x:v>
      </x:c>
      <x:c r="M11" s="5">
        <x:f t="shared" si="1"/>
        <x:v>392810</x:v>
      </x:c>
      <x:c r="N11" s="6"/>
    </x:row>
    <x:row r="12" spans="1:14" ht="20.100000000000001" customHeight="1">
      <x:c r="A12" s="299"/>
      <x:c r="B12" s="3" t="s">
        <x:v>1705</x:v>
      </x:c>
      <x:c r="C12" s="3"/>
      <x:c r="D12" s="4"/>
      <x:c r="E12" s="4">
        <x:f>+D12*0.1</x:f>
        <x:v>0</x:v>
      </x:c>
      <x:c r="F12" s="5">
        <x:f>+D12+E12</x:f>
        <x:v>0</x:v>
      </x:c>
      <x:c r="G12" s="6"/>
      <x:c r="H12" s="299"/>
      <x:c r="I12" s="3" t="s">
        <x:v>846</x:v>
      </x:c>
      <x:c r="J12" s="3" t="s">
        <x:v>953</x:v>
      </x:c>
      <x:c r="K12" s="4">
        <x:v>928000</x:v>
      </x:c>
      <x:c r="L12" s="4">
        <x:f t="shared" si="0"/>
        <x:v>92800</x:v>
      </x:c>
      <x:c r="M12" s="5">
        <x:f t="shared" si="1"/>
        <x:v>1020800</x:v>
      </x:c>
      <x:c r="N12" s="6"/>
    </x:row>
    <x:row r="13" spans="1:14" ht="20.100000000000001" customHeight="1">
      <x:c r="A13" s="299"/>
      <x:c r="B13" s="3" t="s">
        <x:v>846</x:v>
      </x:c>
      <x:c r="C13" s="3" t="s">
        <x:v>1196</x:v>
      </x:c>
      <x:c r="D13" s="4">
        <x:v>2751900</x:v>
      </x:c>
      <x:c r="E13" s="4">
        <x:f>+D13*0.1</x:f>
        <x:v>275190</x:v>
      </x:c>
      <x:c r="F13" s="45">
        <x:f>+D13+E13</x:f>
        <x:v>3027090</x:v>
      </x:c>
      <x:c r="G13" s="6"/>
      <x:c r="H13" s="299"/>
      <x:c r="I13" s="3" t="s">
        <x:v>1705</x:v>
      </x:c>
      <x:c r="J13" s="3" t="s">
        <x:v>1190</x:v>
      </x:c>
      <x:c r="K13" s="4">
        <x:v>936000</x:v>
      </x:c>
      <x:c r="L13" s="4">
        <x:f t="shared" si="0"/>
        <x:v>93600</x:v>
      </x:c>
      <x:c r="M13" s="5">
        <x:f t="shared" si="1"/>
        <x:v>1029600</x:v>
      </x:c>
      <x:c r="N13" s="6"/>
    </x:row>
    <x:row r="14" spans="1:14" ht="20.100000000000001" customHeight="1">
      <x:c r="A14" s="299"/>
      <x:c r="B14" s="3" t="s">
        <x:v>1204</x:v>
      </x:c>
      <x:c r="C14" s="3" t="s">
        <x:v>1215</x:v>
      </x:c>
      <x:c r="D14" s="4">
        <x:v>7000000</x:v>
      </x:c>
      <x:c r="E14" s="4">
        <x:f>+D14*0.1</x:f>
        <x:v>700000</x:v>
      </x:c>
      <x:c r="F14" s="45">
        <x:f>+D14+E14</x:f>
        <x:v>7700000</x:v>
      </x:c>
      <x:c r="G14" s="6"/>
      <x:c r="H14" s="299"/>
      <x:c r="I14" s="3" t="s">
        <x:v>854</x:v>
      </x:c>
      <x:c r="J14" s="3" t="s">
        <x:v>741</x:v>
      </x:c>
      <x:c r="K14" s="4">
        <x:v>547320</x:v>
      </x:c>
      <x:c r="L14" s="4">
        <x:f t="shared" si="0"/>
        <x:v>54732</x:v>
      </x:c>
      <x:c r="M14" s="5">
        <x:f t="shared" si="1"/>
        <x:v>602052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2"/>
        <x:v>0</x:v>
      </x:c>
      <x:c r="F15" s="45">
        <x:f t="shared" si="3"/>
        <x:v>0</x:v>
      </x:c>
      <x:c r="G15" s="6"/>
      <x:c r="H15" s="299"/>
      <x:c r="I15" s="3" t="s">
        <x:v>1058</x:v>
      </x:c>
      <x:c r="J15" s="3" t="s">
        <x:v>748</x:v>
      </x:c>
      <x:c r="K15" s="4">
        <x:v>1993960</x:v>
      </x:c>
      <x:c r="L15" s="4">
        <x:f>K15*0.1</x:f>
        <x:v>199396</x:v>
      </x:c>
      <x:c r="M15" s="5">
        <x:f t="shared" si="1"/>
        <x:v>2193356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2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1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20692500</x:v>
      </x:c>
      <x:c r="E17" s="9">
        <x:f>SUM(E5:E16)</x:f>
        <x:v>2069250</x:v>
      </x:c>
      <x:c r="F17" s="10">
        <x:f>SUM(F5:F16)</x:f>
        <x:v>22761750</x:v>
      </x:c>
      <x:c r="G17" s="11"/>
      <x:c r="H17" s="7"/>
      <x:c r="I17" s="8"/>
      <x:c r="J17" s="8"/>
      <x:c r="K17" s="9">
        <x:f>SUM(K5:K16)</x:f>
        <x:v>23512490</x:v>
      </x:c>
      <x:c r="L17" s="9">
        <x:f>SUM(L5:L16)</x:f>
        <x:v>2351249</x:v>
      </x:c>
      <x:c r="M17" s="10">
        <x:f>SUM(M5:M16)</x:f>
        <x:v>25863739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f>47250000+(6*120000)</x:f>
        <x:v>47970000</x:v>
      </x:c>
      <x:c r="E18" s="44"/>
      <x:c r="F18" s="45">
        <x:f>+D18+E18</x:f>
        <x:v>47970000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21000000</x:v>
      </x:c>
      <x:c r="L18" s="4"/>
      <x:c r="M18" s="5">
        <x:f t="shared" si="1"/>
        <x:v>21000000</x:v>
      </x:c>
      <x:c r="N18" s="6"/>
    </x:row>
    <x:row r="19" spans="1:14" ht="20.100000000000001" customHeight="1">
      <x:c r="A19" s="299"/>
      <x:c r="B19" s="3" t="s">
        <x:v>1677</x:v>
      </x:c>
      <x:c r="C19" s="3" t="s">
        <x:v>1199</x:v>
      </x:c>
      <x:c r="D19" s="4">
        <x:v>1000000</x:v>
      </x:c>
      <x:c r="E19" s="4"/>
      <x:c r="F19" s="5">
        <x:f>+D19+E19</x:f>
        <x:v>1000000</x:v>
      </x:c>
      <x:c r="G19" s="37" t="s">
        <x:v>1216</x:v>
      </x:c>
      <x:c r="H19" s="299"/>
      <x:c r="I19" s="3" t="s">
        <x:v>695</x:v>
      </x:c>
      <x:c r="J19" s="3" t="s">
        <x:v>1107</x:v>
      </x:c>
      <x:c r="K19" s="4">
        <x:v>14200000</x:v>
      </x:c>
      <x:c r="L19" s="4"/>
      <x:c r="M19" s="5">
        <x:f t="shared" si="1"/>
        <x:v>14200000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>
        <x:v>10161000</x:v>
      </x:c>
      <x:c r="L20" s="4">
        <x:f>+K20*0.1</x:f>
        <x:v>1016100</x:v>
      </x:c>
      <x:c r="M20" s="5">
        <x:f t="shared" si="1"/>
        <x:v>11177100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48970000</x:v>
      </x:c>
      <x:c r="E22" s="9">
        <x:f>SUM(E18:E21)</x:f>
        <x:v>0</x:v>
      </x:c>
      <x:c r="F22" s="10">
        <x:f>SUM(F18:F21)</x:f>
        <x:v>48970000</x:v>
      </x:c>
      <x:c r="G22" s="11"/>
      <x:c r="H22" s="7"/>
      <x:c r="I22" s="8"/>
      <x:c r="J22" s="8"/>
      <x:c r="K22" s="9">
        <x:f>SUM(K18:K21)</x:f>
        <x:v>45361000</x:v>
      </x:c>
      <x:c r="L22" s="9">
        <x:f>SUM(L18:L21)</x:f>
        <x:v>1016100</x:v>
      </x:c>
      <x:c r="M22" s="10">
        <x:f>SUM(M18:M21)</x:f>
        <x:v>46377100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>
        <x:v>60000</x:v>
      </x:c>
      <x:c r="E23" s="4">
        <x:f>+D23*0.1</x:f>
        <x:v>6000</x:v>
      </x:c>
      <x:c r="F23" s="5">
        <x:f>+D23+E23</x:f>
        <x:v>66000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600000</x:v>
      </x:c>
      <x:c r="L23" s="4">
        <x:f>+K23*0.1</x:f>
        <x:v>60000</x:v>
      </x:c>
      <x:c r="M23" s="5">
        <x:f>+K23+L23</x:f>
        <x:v>660000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/>
      <x:c r="H24" s="299"/>
      <x:c r="I24" s="3" t="s">
        <x:v>1211</x:v>
      </x:c>
      <x:c r="J24" s="3" t="s">
        <x:v>948</x:v>
      </x:c>
      <x:c r="K24" s="4">
        <x:v>50000</x:v>
      </x:c>
      <x:c r="L24" s="4">
        <x:f>K24*0.1</x:f>
        <x:v>5000</x:v>
      </x:c>
      <x:c r="M24" s="5">
        <x:f>+K24+L24</x:f>
        <x:v>55000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>
        <x:v>700000</x:v>
      </x:c>
      <x:c r="E25" s="4">
        <x:f>+D25*0.1</x:f>
        <x:v>70000</x:v>
      </x:c>
      <x:c r="F25" s="5">
        <x:f>+D25+E25</x:f>
        <x:v>770000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1360000</x:v>
      </x:c>
      <x:c r="E27" s="9">
        <x:f>SUM(E23:E26)</x:f>
        <x:v>136000</x:v>
      </x:c>
      <x:c r="F27" s="10">
        <x:f>SUM(F23:F26)</x:f>
        <x:v>1496000</x:v>
      </x:c>
      <x:c r="G27" s="11"/>
      <x:c r="H27" s="7"/>
      <x:c r="I27" s="8"/>
      <x:c r="J27" s="8"/>
      <x:c r="K27" s="9">
        <x:f>SUM(K23:K26)</x:f>
        <x:v>650000</x:v>
      </x:c>
      <x:c r="L27" s="9">
        <x:f>SUM(L23:L26)</x:f>
        <x:v>65000</x:v>
      </x:c>
      <x:c r="M27" s="10">
        <x:f>SUM(M23:M26)</x:f>
        <x:v>715000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2053610</x:v>
      </x:c>
      <x:c r="E28" s="44">
        <x:v>7000</x:v>
      </x:c>
      <x:c r="F28" s="5">
        <x:f>+D28+E28</x:f>
        <x:v>2060610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1053700</x:v>
      </x:c>
      <x:c r="L28" s="4">
        <x:v>7000</x:v>
      </x:c>
      <x:c r="M28" s="5">
        <x:f t="shared" ref="M28:M37" si="4">+K28+L28</x:f>
        <x:v>1060700</x:v>
      </x:c>
      <x:c r="N28" s="6"/>
    </x:row>
    <x:row r="29" spans="1:14" ht="20.100000000000001" customHeight="1">
      <x:c r="A29" s="299"/>
      <x:c r="B29" s="3" t="s">
        <x:v>959</x:v>
      </x:c>
      <x:c r="C29" s="3" t="s">
        <x:v>739</x:v>
      </x:c>
      <x:c r="D29" s="4">
        <x:v>3370909</x:v>
      </x:c>
      <x:c r="E29" s="4">
        <x:f>+D29*0.1</x:f>
        <x:v>337090.90000000002</x:v>
      </x:c>
      <x:c r="F29" s="5">
        <x:f>+D29+E29</x:f>
        <x:v>3707999.8999999999</x:v>
      </x:c>
      <x:c r="G29" s="6"/>
      <x:c r="H29" s="299"/>
      <x:c r="I29" s="3" t="s">
        <x:v>1205</x:v>
      </x:c>
      <x:c r="J29" s="3" t="s">
        <x:v>28</x:v>
      </x:c>
      <x:c r="K29" s="4">
        <x:v>655909</x:v>
      </x:c>
      <x:c r="L29" s="4">
        <x:f>+K29*0.1</x:f>
        <x:v>65590.900000000009</x:v>
      </x:c>
      <x:c r="M29" s="5">
        <x:f t="shared" si="4"/>
        <x:v>721499.90000000002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130000</x:v>
      </x:c>
      <x:c r="E31" s="4">
        <x:f>+D31*0.1</x:f>
        <x:v>13000</x:v>
      </x:c>
      <x:c r="F31" s="5">
        <x:f t="shared" ref="F31:F37" si="5">+D31+E31</x:f>
        <x:v>143000</x:v>
      </x:c>
      <x:c r="G31" s="6"/>
      <x:c r="H31" s="299"/>
      <x:c r="I31" s="3" t="s">
        <x:v>883</x:v>
      </x:c>
      <x:c r="J31" s="3" t="s">
        <x:v>1760</x:v>
      </x:c>
      <x:c r="K31" s="4">
        <x:v>200000</x:v>
      </x:c>
      <x:c r="L31" s="4">
        <x:f>K31*0.1</x:f>
        <x:v>20000</x:v>
      </x:c>
      <x:c r="M31" s="5">
        <x:f t="shared" si="4"/>
        <x:v>220000</x:v>
      </x:c>
      <x:c r="N31" s="6"/>
    </x:row>
    <x:row r="32" spans="1:14" ht="20.100000000000001" customHeight="1">
      <x:c r="A32" s="299"/>
      <x:c r="B32" s="3" t="s">
        <x:v>1699</x:v>
      </x:c>
      <x:c r="C32" s="3" t="s">
        <x:v>167</x:v>
      </x:c>
      <x:c r="D32" s="4"/>
      <x:c r="E32" s="4">
        <x:f>+D32*0.1</x:f>
        <x:v>0</x:v>
      </x:c>
      <x:c r="F32" s="5">
        <x:f t="shared" si="5"/>
        <x:v>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4"/>
        <x:v>110000</x:v>
      </x:c>
      <x:c r="N32" s="6"/>
    </x:row>
    <x:row r="33" spans="1:14" ht="20.100000000000001" customHeight="1">
      <x:c r="A33" s="299"/>
      <x:c r="B33" s="3" t="s">
        <x:v>994</x:v>
      </x:c>
      <x:c r="C33" s="3" t="s">
        <x:v>8</x:v>
      </x:c>
      <x:c r="D33" s="4">
        <x:v>424546</x:v>
      </x:c>
      <x:c r="E33" s="4">
        <x:f>+D33*0.1-1</x:f>
        <x:v>42453.600000000006</x:v>
      </x:c>
      <x:c r="F33" s="5">
        <x:f t="shared" si="5"/>
        <x:v>466999.59999999998</x:v>
      </x:c>
      <x:c r="G33" s="6"/>
      <x:c r="H33" s="299"/>
      <x:c r="I33" s="3" t="s">
        <x:v>1120</x:v>
      </x:c>
      <x:c r="J33" s="3" t="s">
        <x:v>167</x:v>
      </x:c>
      <x:c r="K33" s="4">
        <x:v>20000</x:v>
      </x:c>
      <x:c r="L33" s="4">
        <x:f>K33*0.1</x:f>
        <x:v>2000</x:v>
      </x:c>
      <x:c r="M33" s="5">
        <x:f t="shared" si="4"/>
        <x:v>22000</x:v>
      </x:c>
      <x:c r="N33" s="6"/>
    </x:row>
    <x:row r="34" spans="1:14" ht="20.100000000000001" customHeight="1">
      <x:c r="A34" s="299"/>
      <x:c r="B34" s="3"/>
      <x:c r="C34" s="3"/>
      <x:c r="D34" s="4"/>
      <x:c r="E34" s="4">
        <x:f>+D34*0.1</x:f>
        <x:v>0</x:v>
      </x:c>
      <x:c r="F34" s="5">
        <x:f t="shared" si="5"/>
        <x:v>0</x:v>
      </x:c>
      <x:c r="G34" s="6"/>
      <x:c r="H34" s="299"/>
      <x:c r="I34" s="3"/>
      <x:c r="J34" s="3"/>
      <x:c r="K34" s="4"/>
      <x:c r="L34" s="4"/>
      <x:c r="M34" s="5">
        <x:f t="shared" si="4"/>
        <x:v>0</x:v>
      </x:c>
      <x:c r="N34" s="6"/>
    </x:row>
    <x:row r="35" spans="1:14" ht="20.100000000000001" customHeight="1">
      <x:c r="A35" s="299"/>
      <x:c r="B35" s="3"/>
      <x:c r="C35" s="3"/>
      <x:c r="D35" s="44"/>
      <x:c r="E35" s="44"/>
      <x:c r="F35" s="5">
        <x:f t="shared" si="5"/>
        <x:v>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6529065</x:v>
      </x:c>
      <x:c r="E38" s="9">
        <x:f>SUM(E28:E37)</x:f>
        <x:v>399544.5</x:v>
      </x:c>
      <x:c r="F38" s="10">
        <x:f>SUM(F28:F37)</x:f>
        <x:v>6928609.5</x:v>
      </x:c>
      <x:c r="G38" s="11"/>
      <x:c r="H38" s="7"/>
      <x:c r="I38" s="8"/>
      <x:c r="J38" s="8"/>
      <x:c r="K38" s="9">
        <x:f>SUM(K28:K37)</x:f>
        <x:v>2529609</x:v>
      </x:c>
      <x:c r="L38" s="9">
        <x:f>SUM(L28:L37)</x:f>
        <x:v>154590.90000000002</x:v>
      </x:c>
      <x:c r="M38" s="10">
        <x:f>SUM(M28:M37)</x:f>
        <x:v>2684199.8999999999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77551565</x:v>
      </x:c>
      <x:c r="E39" s="14">
        <x:f>+E17+E22+E27+E38</x:f>
        <x:v>2604794.5</x:v>
      </x:c>
      <x:c r="F39" s="15">
        <x:f>+F17+F22+F27+F38</x:f>
        <x:v>80156359.5</x:v>
      </x:c>
      <x:c r="G39" s="16"/>
      <x:c r="H39" s="12"/>
      <x:c r="I39" s="13"/>
      <x:c r="J39" s="13"/>
      <x:c r="K39" s="14">
        <x:f>+K17+K22+K27+K38</x:f>
        <x:v>72053099</x:v>
      </x:c>
      <x:c r="L39" s="14">
        <x:f>+L17+L22+L27+L38</x:f>
        <x:v>3586939.8999999999</x:v>
      </x:c>
      <x:c r="M39" s="15">
        <x:f>+M17+M22+M27+M38</x:f>
        <x:v>75640038.900000006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22445435</x:v>
      </x:c>
      <x:c r="E40" s="25">
        <x:f>+E4-E39</x:f>
        <x:v>-2601794.5</x:v>
      </x:c>
      <x:c r="F40" s="26">
        <x:f>+F4-F39</x:f>
        <x:v>19843640.5</x:v>
      </x:c>
      <x:c r="G40" s="27"/>
      <x:c r="H40" s="23"/>
      <x:c r="I40" s="24"/>
      <x:c r="J40" s="24"/>
      <x:c r="K40" s="25">
        <x:f>+K4-K39</x:f>
        <x:v>14750901</x:v>
      </x:c>
      <x:c r="L40" s="25">
        <x:f>+L4-L39</x:f>
        <x:v>-3390939.8999999999</x:v>
      </x:c>
      <x:c r="M40" s="26">
        <x:f>+M4-M39</x:f>
        <x:v>11359961.099999994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13" t="s">
        <x:v>144</x:v>
      </x:c>
      <x:c r="C42" s="113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13" t="s">
        <x:v>144</x:v>
      </x:c>
      <x:c r="J42" s="113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12" t="s">
        <x:v>151</x:v>
      </x:c>
      <x:c r="B43" s="38" t="s">
        <x:v>1679</x:v>
      </x:c>
      <x:c r="C43" s="38" t="s">
        <x:v>1030</x:v>
      </x:c>
      <x:c r="D43" s="39">
        <x:v>142465795</x:v>
      </x:c>
      <x:c r="E43" s="39">
        <x:v>10534205</x:v>
      </x:c>
      <x:c r="F43" s="40">
        <x:f t="shared" ref="F43:F58" si="6">+D43+E43</x:f>
        <x:v>153000000</x:v>
      </x:c>
      <x:c r="G43" s="18"/>
      <x:c r="H43" s="112" t="s">
        <x:v>151</x:v>
      </x:c>
      <x:c r="I43" s="38" t="s">
        <x:v>1679</x:v>
      </x:c>
      <x:c r="J43" s="38" t="s">
        <x:v>1030</x:v>
      </x:c>
      <x:c r="K43" s="39">
        <x:v>79158467</x:v>
      </x:c>
      <x:c r="L43" s="39">
        <x:v>841533</x:v>
      </x:c>
      <x:c r="M43" s="40">
        <x:f>+K43+L43</x:f>
        <x:v>80000000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1174</x:v>
      </x:c>
      <x:c r="D44" s="20">
        <x:v>4098150</x:v>
      </x:c>
      <x:c r="E44" s="20">
        <x:f>D44*0.1</x:f>
        <x:v>409815</x:v>
      </x:c>
      <x:c r="F44" s="21">
        <x:f t="shared" si="6"/>
        <x:v>4507965</x:v>
      </x:c>
      <x:c r="G44" s="22"/>
      <x:c r="H44" s="298" t="s">
        <x:v>148</x:v>
      </x:c>
      <x:c r="I44" s="19" t="s">
        <x:v>838</x:v>
      </x:c>
      <x:c r="J44" s="19" t="s">
        <x:v>1188</x:v>
      </x:c>
      <x:c r="K44" s="20">
        <x:v>4580540</x:v>
      </x:c>
      <x:c r="L44" s="20">
        <x:f>+K44*0.1</x:f>
        <x:v>458054</x:v>
      </x:c>
      <x:c r="M44" s="21">
        <x:f>+K44+L44</x:f>
        <x:v>5038594</x:v>
      </x:c>
      <x:c r="N44" s="22"/>
    </x:row>
    <x:row r="45" spans="1:14" ht="20.100000000000001" customHeight="1">
      <x:c r="A45" s="299"/>
      <x:c r="B45" s="3" t="s">
        <x:v>840</x:v>
      </x:c>
      <x:c r="C45" s="3" t="s">
        <x:v>383</x:v>
      </x:c>
      <x:c r="D45" s="4">
        <x:v>243900</x:v>
      </x:c>
      <x:c r="E45" s="4">
        <x:f>D45*0.1</x:f>
        <x:v>24390</x:v>
      </x:c>
      <x:c r="F45" s="5">
        <x:f t="shared" si="6"/>
        <x:v>268290</x:v>
      </x:c>
      <x:c r="G45" s="6"/>
      <x:c r="H45" s="299"/>
      <x:c r="I45" s="3" t="s">
        <x:v>867</x:v>
      </x:c>
      <x:c r="J45" s="3" t="s">
        <x:v>369</x:v>
      </x:c>
      <x:c r="K45" s="4">
        <x:v>13264980</x:v>
      </x:c>
      <x:c r="L45" s="4">
        <x:f>+K45*0.1</x:f>
        <x:v>1326498</x:v>
      </x:c>
      <x:c r="M45" s="5">
        <x:f>+K45+L45</x:f>
        <x:v>14591478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17970000</x:v>
      </x:c>
      <x:c r="E46" s="4">
        <x:f>D46*0.1</x:f>
        <x:v>1797000</x:v>
      </x:c>
      <x:c r="F46" s="5">
        <x:f t="shared" si="6"/>
        <x:v>19767000</x:v>
      </x:c>
      <x:c r="G46" s="6"/>
      <x:c r="H46" s="299"/>
      <x:c r="I46" s="3" t="s">
        <x:v>840</x:v>
      </x:c>
      <x:c r="J46" s="3" t="s">
        <x:v>342</x:v>
      </x:c>
      <x:c r="K46" s="4">
        <x:v>1024300</x:v>
      </x:c>
      <x:c r="L46" s="4">
        <x:f>+INT(K46*0.1)</x:f>
        <x:v>102430</x:v>
      </x:c>
      <x:c r="M46" s="5">
        <x:f t="shared" ref="M46:M57" si="7">+K46+L46</x:f>
        <x:v>1126730</x:v>
      </x:c>
      <x:c r="N46" s="6"/>
    </x:row>
    <x:row r="47" spans="1:14" ht="20.100000000000001" customHeight="1">
      <x:c r="A47" s="299"/>
      <x:c r="B47" s="3" t="s">
        <x:v>976</x:v>
      </x:c>
      <x:c r="C47" s="3" t="s">
        <x:v>337</x:v>
      </x:c>
      <x:c r="D47" s="4">
        <x:v>240000</x:v>
      </x:c>
      <x:c r="E47" s="4">
        <x:f>D47*0.1</x:f>
        <x:v>24000</x:v>
      </x:c>
      <x:c r="F47" s="5">
        <x:f t="shared" si="6"/>
        <x:v>264000</x:v>
      </x:c>
      <x:c r="G47" s="6"/>
      <x:c r="H47" s="299"/>
      <x:c r="I47" s="3" t="s">
        <x:v>976</x:v>
      </x:c>
      <x:c r="J47" s="3" t="s">
        <x:v>337</x:v>
      </x:c>
      <x:c r="K47" s="4">
        <x:v>356000</x:v>
      </x:c>
      <x:c r="L47" s="4">
        <x:f t="shared" ref="L47:L57" si="8">+INT(K47*0.1)</x:f>
        <x:v>35600</x:v>
      </x:c>
      <x:c r="M47" s="5">
        <x:f t="shared" si="7"/>
        <x:v>391600</x:v>
      </x:c>
      <x:c r="N47" s="6"/>
    </x:row>
    <x:row r="48" spans="1:14" ht="20.100000000000001" customHeight="1">
      <x:c r="A48" s="299"/>
      <x:c r="B48" s="3" t="s">
        <x:v>1058</x:v>
      </x:c>
      <x:c r="C48" s="3" t="s">
        <x:v>751</x:v>
      </x:c>
      <x:c r="D48" s="4">
        <x:v>301200</x:v>
      </x:c>
      <x:c r="E48" s="4">
        <x:f>D48*0.1</x:f>
        <x:v>30120</x:v>
      </x:c>
      <x:c r="F48" s="5">
        <x:f t="shared" si="6"/>
        <x:v>331320</x:v>
      </x:c>
      <x:c r="G48" s="6"/>
      <x:c r="H48" s="299"/>
      <x:c r="I48" s="3" t="s">
        <x:v>1058</x:v>
      </x:c>
      <x:c r="J48" s="3"/>
      <x:c r="K48" s="4"/>
      <x:c r="L48" s="4">
        <x:f t="shared" si="8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 t="s">
        <x:v>854</x:v>
      </x:c>
      <x:c r="C49" s="3" t="s">
        <x:v>740</x:v>
      </x:c>
      <x:c r="D49" s="4">
        <x:v>19586180</x:v>
      </x:c>
      <x:c r="E49" s="4">
        <x:f t="shared" ref="E49:E58" si="9">+INT(D49*0.1)</x:f>
        <x:v>1958618</x:v>
      </x:c>
      <x:c r="F49" s="5">
        <x:f t="shared" si="6"/>
        <x:v>21544798</x:v>
      </x:c>
      <x:c r="G49" s="6"/>
      <x:c r="H49" s="299"/>
      <x:c r="I49" s="3" t="s">
        <x:v>967</x:v>
      </x:c>
      <x:c r="J49" s="3"/>
      <x:c r="K49" s="4"/>
      <x:c r="L49" s="4">
        <x:f t="shared" si="8"/>
        <x:v>0</x:v>
      </x:c>
      <x:c r="M49" s="5">
        <x:f t="shared" si="7"/>
        <x:v>0</x:v>
      </x:c>
      <x:c r="N49" s="6"/>
    </x:row>
    <x:row r="50" spans="1:14" ht="20.100000000000001" customHeight="1">
      <x:c r="A50" s="299"/>
      <x:c r="B50" s="3" t="s">
        <x:v>1705</x:v>
      </x:c>
      <x:c r="C50" s="3" t="s">
        <x:v>1139</x:v>
      </x:c>
      <x:c r="D50" s="4">
        <x:v>564000</x:v>
      </x:c>
      <x:c r="E50" s="4">
        <x:f t="shared" si="9"/>
        <x:v>56400</x:v>
      </x:c>
      <x:c r="F50" s="5">
        <x:f t="shared" si="6"/>
        <x:v>620400</x:v>
      </x:c>
      <x:c r="G50" s="6"/>
      <x:c r="H50" s="299"/>
      <x:c r="I50" s="3" t="s">
        <x:v>846</x:v>
      </x:c>
      <x:c r="J50" s="3" t="s">
        <x:v>1165</x:v>
      </x:c>
      <x:c r="K50" s="4">
        <x:v>1259250</x:v>
      </x:c>
      <x:c r="L50" s="4">
        <x:f t="shared" si="8"/>
        <x:v>125925</x:v>
      </x:c>
      <x:c r="M50" s="5">
        <x:f t="shared" si="7"/>
        <x:v>1385175</x:v>
      </x:c>
      <x:c r="N50" s="6"/>
    </x:row>
    <x:row r="51" spans="1:14" ht="20.100000000000001" customHeight="1">
      <x:c r="A51" s="299"/>
      <x:c r="B51" s="3" t="s">
        <x:v>1119</x:v>
      </x:c>
      <x:c r="C51" s="3" t="s">
        <x:v>718</x:v>
      </x:c>
      <x:c r="D51" s="4">
        <x:v>78000</x:v>
      </x:c>
      <x:c r="E51" s="4">
        <x:f t="shared" si="9"/>
        <x:v>7800</x:v>
      </x:c>
      <x:c r="F51" s="5">
        <x:f t="shared" si="6"/>
        <x:v>85800</x:v>
      </x:c>
      <x:c r="G51" s="6"/>
      <x:c r="H51" s="299"/>
      <x:c r="I51" s="3" t="s">
        <x:v>938</x:v>
      </x:c>
      <x:c r="J51" s="3"/>
      <x:c r="K51" s="4"/>
      <x:c r="L51" s="4">
        <x:f t="shared" si="8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 t="s">
        <x:v>1173</x:v>
      </x:c>
      <x:c r="C52" s="3"/>
      <x:c r="D52" s="4"/>
      <x:c r="E52" s="4">
        <x:f t="shared" si="9"/>
        <x:v>0</x:v>
      </x:c>
      <x:c r="F52" s="5">
        <x:f t="shared" si="6"/>
        <x:v>0</x:v>
      </x:c>
      <x:c r="G52" s="6"/>
      <x:c r="H52" s="299"/>
      <x:c r="I52" s="3" t="s">
        <x:v>1705</x:v>
      </x:c>
      <x:c r="J52" s="3" t="s">
        <x:v>1167</x:v>
      </x:c>
      <x:c r="K52" s="4">
        <x:v>234000</x:v>
      </x:c>
      <x:c r="L52" s="4">
        <x:f t="shared" si="8"/>
        <x:v>23400</x:v>
      </x:c>
      <x:c r="M52" s="5">
        <x:f t="shared" si="7"/>
        <x:v>257400</x:v>
      </x:c>
      <x:c r="N52" s="6"/>
    </x:row>
    <x:row r="53" spans="1:14" ht="20.100000000000001" customHeight="1">
      <x:c r="A53" s="299"/>
      <x:c r="B53" s="3" t="s">
        <x:v>846</x:v>
      </x:c>
      <x:c r="C53" s="3" t="s">
        <x:v>750</x:v>
      </x:c>
      <x:c r="D53" s="4">
        <x:v>2422040</x:v>
      </x:c>
      <x:c r="E53" s="4">
        <x:f t="shared" si="9"/>
        <x:v>242204</x:v>
      </x:c>
      <x:c r="F53" s="5">
        <x:f t="shared" si="6"/>
        <x:v>2664244</x:v>
      </x:c>
      <x:c r="G53" s="6"/>
      <x:c r="H53" s="299"/>
      <x:c r="I53" s="3" t="s">
        <x:v>1119</x:v>
      </x:c>
      <x:c r="J53" s="3" t="s">
        <x:v>718</x:v>
      </x:c>
      <x:c r="K53" s="4"/>
      <x:c r="L53" s="4">
        <x:f t="shared" si="8"/>
        <x:v>0</x:v>
      </x:c>
      <x:c r="M53" s="5">
        <x:f t="shared" si="7"/>
        <x:v>0</x:v>
      </x:c>
      <x:c r="N53" s="6"/>
    </x:row>
    <x:row r="54" spans="1:14" ht="20.100000000000001" customHeight="1">
      <x:c r="A54" s="299"/>
      <x:c r="B54" s="3" t="s">
        <x:v>846</x:v>
      </x:c>
      <x:c r="C54" s="3" t="s">
        <x:v>953</x:v>
      </x:c>
      <x:c r="D54" s="4">
        <x:v>590000</x:v>
      </x:c>
      <x:c r="E54" s="4">
        <x:f t="shared" si="9"/>
        <x:v>59000</x:v>
      </x:c>
      <x:c r="F54" s="5">
        <x:f t="shared" si="6"/>
        <x:v>649000</x:v>
      </x:c>
      <x:c r="G54" s="6"/>
      <x:c r="H54" s="299"/>
      <x:c r="I54" s="3" t="s">
        <x:v>228</x:v>
      </x:c>
      <x:c r="J54" s="3" t="s">
        <x:v>1172</x:v>
      </x:c>
      <x:c r="K54" s="4"/>
      <x:c r="L54" s="4">
        <x:f t="shared" si="8"/>
        <x:v>0</x:v>
      </x:c>
      <x:c r="M54" s="5">
        <x:f t="shared" si="7"/>
        <x:v>0</x:v>
      </x:c>
      <x:c r="N54" s="6"/>
    </x:row>
    <x:row r="55" spans="1:14" ht="20.100000000000001" customHeight="1">
      <x:c r="A55" s="299"/>
      <x:c r="B55" s="3" t="s">
        <x:v>1182</x:v>
      </x:c>
      <x:c r="C55" s="3" t="s">
        <x:v>743</x:v>
      </x:c>
      <x:c r="D55" s="4">
        <x:v>18476000</x:v>
      </x:c>
      <x:c r="E55" s="4">
        <x:f t="shared" si="9"/>
        <x:v>1847600</x:v>
      </x:c>
      <x:c r="F55" s="5">
        <x:f t="shared" si="6"/>
        <x:v>20323600</x:v>
      </x:c>
      <x:c r="G55" s="6"/>
      <x:c r="H55" s="299"/>
      <x:c r="I55" s="3" t="s">
        <x:v>1182</x:v>
      </x:c>
      <x:c r="J55" s="3" t="s">
        <x:v>744</x:v>
      </x:c>
      <x:c r="K55" s="4">
        <x:v>12800000</x:v>
      </x:c>
      <x:c r="L55" s="4">
        <x:f t="shared" si="8"/>
        <x:v>1280000</x:v>
      </x:c>
      <x:c r="M55" s="5">
        <x:f t="shared" si="7"/>
        <x:v>14080000</x:v>
      </x:c>
      <x:c r="N55" s="6" t="s">
        <x:v>749</x:v>
      </x:c>
    </x:row>
    <x:row r="56" spans="1:14" ht="20.100000000000001" customHeight="1">
      <x:c r="A56" s="299"/>
      <x:c r="B56" s="3" t="s">
        <x:v>1224</x:v>
      </x:c>
      <x:c r="C56" s="3" t="s">
        <x:v>1226</x:v>
      </x:c>
      <x:c r="D56" s="4">
        <x:v>-950000</x:v>
      </x:c>
      <x:c r="E56" s="4">
        <x:f t="shared" si="9"/>
        <x:v>-95000</x:v>
      </x:c>
      <x:c r="F56" s="5">
        <x:f t="shared" si="6"/>
        <x:v>-1045000</x:v>
      </x:c>
      <x:c r="G56" s="6" t="s">
        <x:v>1212</x:v>
      </x:c>
      <x:c r="H56" s="299"/>
      <x:c r="I56" s="3" t="s">
        <x:v>1201</x:v>
      </x:c>
      <x:c r="J56" s="3" t="s">
        <x:v>752</x:v>
      </x:c>
      <x:c r="K56" s="4">
        <x:v>39990000</x:v>
      </x:c>
      <x:c r="L56" s="4">
        <x:f t="shared" si="8"/>
        <x:v>3999000</x:v>
      </x:c>
      <x:c r="M56" s="5">
        <x:f t="shared" si="7"/>
        <x:v>43989000</x:v>
      </x:c>
      <x:c r="N56" s="6" t="s">
        <x:v>753</x:v>
      </x:c>
    </x:row>
    <x:row r="57" spans="1:14" ht="20.100000000000001" customHeight="1">
      <x:c r="A57" s="299"/>
      <x:c r="B57" s="3" t="s">
        <x:v>228</x:v>
      </x:c>
      <x:c r="C57" s="3" t="s">
        <x:v>1226</x:v>
      </x:c>
      <x:c r="D57" s="4">
        <x:v>930000</x:v>
      </x:c>
      <x:c r="E57" s="4">
        <x:f t="shared" si="9"/>
        <x:v>93000</x:v>
      </x:c>
      <x:c r="F57" s="5">
        <x:f t="shared" si="6"/>
        <x:v>1023000</x:v>
      </x:c>
      <x:c r="G57" s="6" t="s">
        <x:v>1213</x:v>
      </x:c>
      <x:c r="H57" s="299"/>
      <x:c r="I57" s="3"/>
      <x:c r="J57" s="3"/>
      <x:c r="K57" s="4"/>
      <x:c r="L57" s="4">
        <x:f t="shared" si="8"/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 t="s">
        <x:v>1201</x:v>
      </x:c>
      <x:c r="C58" s="3" t="s">
        <x:v>752</x:v>
      </x:c>
      <x:c r="D58" s="4">
        <x:v>59055000</x:v>
      </x:c>
      <x:c r="E58" s="4">
        <x:f t="shared" si="9"/>
        <x:v>5905500</x:v>
      </x:c>
      <x:c r="F58" s="5">
        <x:f t="shared" si="6"/>
        <x:v>64960500</x:v>
      </x:c>
      <x:c r="G58" s="6" t="s">
        <x:v>753</x:v>
      </x:c>
      <x:c r="H58" s="300"/>
      <x:c r="I58" s="3"/>
      <x:c r="J58" s="3"/>
      <x:c r="K58" s="4"/>
      <x:c r="L58" s="4"/>
      <x:c r="M58" s="5"/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123604470</x:v>
      </x:c>
      <x:c r="E59" s="9">
        <x:f>SUM(E44:E58)</x:f>
        <x:v>12360447</x:v>
      </x:c>
      <x:c r="F59" s="10">
        <x:f>SUM(F44:F58)</x:f>
        <x:v>135964917</x:v>
      </x:c>
      <x:c r="G59" s="11"/>
      <x:c r="H59" s="7" t="s">
        <x:v>155</x:v>
      </x:c>
      <x:c r="I59" s="8"/>
      <x:c r="J59" s="8"/>
      <x:c r="K59" s="9">
        <x:f>SUM(K44:K58)</x:f>
        <x:v>73509070</x:v>
      </x:c>
      <x:c r="L59" s="9">
        <x:f>SUM(L44:L58)</x:f>
        <x:v>7350907</x:v>
      </x:c>
      <x:c r="M59" s="10">
        <x:f>SUM(M44:M58)</x:f>
        <x:v>80859977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51440000</x:v>
      </x:c>
      <x:c r="E60" s="44"/>
      <x:c r="F60" s="45">
        <x:f>+D60+E60</x:f>
        <x:v>51440000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45810000</x:v>
      </x:c>
      <x:c r="L60" s="44"/>
      <x:c r="M60" s="45">
        <x:f>+K60+L60</x:f>
        <x:v>45810000</x:v>
      </x:c>
      <x:c r="N60" s="37"/>
    </x:row>
    <x:row r="61" spans="1:14" ht="20.100000000000001" customHeight="1">
      <x:c r="A61" s="299"/>
      <x:c r="B61" s="3" t="s">
        <x:v>1180</x:v>
      </x:c>
      <x:c r="C61" s="3" t="s">
        <x:v>1192</x:v>
      </x:c>
      <x:c r="D61" s="4">
        <x:v>7420000</x:v>
      </x:c>
      <x:c r="E61" s="4">
        <x:f>+D61*0.1</x:f>
        <x:v>742000</x:v>
      </x:c>
      <x:c r="F61" s="5">
        <x:f>+D61+E61</x:f>
        <x:v>8162000</x:v>
      </x:c>
      <x:c r="G61" s="37"/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58860000</x:v>
      </x:c>
      <x:c r="E64" s="9">
        <x:f>SUM(E60:E63)</x:f>
        <x:v>742000</x:v>
      </x:c>
      <x:c r="F64" s="10">
        <x:f>SUM(F60:F63)</x:f>
        <x:v>59602000</x:v>
      </x:c>
      <x:c r="G64" s="11"/>
      <x:c r="H64" s="7" t="s">
        <x:v>155</x:v>
      </x:c>
      <x:c r="I64" s="8"/>
      <x:c r="J64" s="8"/>
      <x:c r="K64" s="9">
        <x:f>SUM(K60:K63)</x:f>
        <x:v>45810000</x:v>
      </x:c>
      <x:c r="L64" s="9">
        <x:f>SUM(L60:L63)</x:f>
        <x:v>0</x:v>
      </x:c>
      <x:c r="M64" s="10">
        <x:f>SUM(M60:M63)</x:f>
        <x:v>45810000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>
        <x:v>80000</x:v>
      </x:c>
      <x:c r="L65" s="4">
        <x:f>+K65*0.1</x:f>
        <x:v>8000</x:v>
      </x:c>
      <x:c r="M65" s="5">
        <x:f>+K65+L65</x:f>
        <x:v>88000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80000</x:v>
      </x:c>
      <x:c r="L69" s="9">
        <x:f>SUM(L65:L68)</x:f>
        <x:v>8000</x:v>
      </x:c>
      <x:c r="M69" s="10">
        <x:f>SUM(M65:M68)</x:f>
        <x:v>88000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702050</x:v>
      </x:c>
      <x:c r="E70" s="4"/>
      <x:c r="F70" s="5">
        <x:f t="shared" ref="F70:F79" si="10">+D70+E70</x:f>
        <x:v>702050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1144960</x:v>
      </x:c>
      <x:c r="L70" s="4"/>
      <x:c r="M70" s="5">
        <x:f>+K70+L70</x:f>
        <x:v>1144960</x:v>
      </x:c>
      <x:c r="N70" s="6"/>
    </x:row>
    <x:row r="71" spans="1:14" ht="20.100000000000001" customHeight="1">
      <x:c r="A71" s="299"/>
      <x:c r="B71" s="3" t="s">
        <x:v>721</x:v>
      </x:c>
      <x:c r="C71" s="3" t="s">
        <x:v>167</x:v>
      </x:c>
      <x:c r="D71" s="4">
        <x:v>226000</x:v>
      </x:c>
      <x:c r="E71" s="4">
        <x:f>+D71*0.1</x:f>
        <x:v>22600</x:v>
      </x:c>
      <x:c r="F71" s="5">
        <x:f t="shared" si="10"/>
        <x:v>248600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D72*0.1</x:f>
        <x:v>10000</x:v>
      </x:c>
      <x:c r="F72" s="5">
        <x:f t="shared" si="10"/>
        <x:v>110000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1853500</x:v>
      </x:c>
      <x:c r="E73" s="4">
        <x:f>D73*0.1</x:f>
        <x:v>185350</x:v>
      </x:c>
      <x:c r="F73" s="5">
        <x:f t="shared" si="10"/>
        <x:v>2038850</x:v>
      </x:c>
      <x:c r="G73" s="6"/>
      <x:c r="H73" s="299"/>
      <x:c r="I73" s="3" t="s">
        <x:v>1061</x:v>
      </x:c>
      <x:c r="J73" s="3" t="s">
        <x:v>167</x:v>
      </x:c>
      <x:c r="K73" s="4">
        <x:v>212000</x:v>
      </x:c>
      <x:c r="L73" s="4">
        <x:f>+K73*0.1</x:f>
        <x:v>21200</x:v>
      </x:c>
      <x:c r="M73" s="5">
        <x:f>+K73+L73</x:f>
        <x:v>233200</x:v>
      </x:c>
      <x:c r="N73" s="6"/>
    </x:row>
    <x:row r="74" spans="1:14" ht="20.100000000000001" customHeight="1">
      <x:c r="A74" s="299"/>
      <x:c r="B74" s="3" t="s">
        <x:v>926</x:v>
      </x:c>
      <x:c r="C74" s="3" t="s">
        <x:v>927</x:v>
      </x:c>
      <x:c r="D74" s="4">
        <x:v>367870</x:v>
      </x:c>
      <x:c r="E74" s="4"/>
      <x:c r="F74" s="5">
        <x:f t="shared" si="10"/>
        <x:v>367870</x:v>
      </x:c>
      <x:c r="G74" s="6"/>
      <x:c r="H74" s="299"/>
      <x:c r="I74" s="3" t="s">
        <x:v>1047</x:v>
      </x:c>
      <x:c r="J74" s="3" t="s">
        <x:v>962</x:v>
      </x:c>
      <x:c r="K74" s="4">
        <x:v>1668000</x:v>
      </x:c>
      <x:c r="L74" s="4">
        <x:f>+K74*0.1</x:f>
        <x:v>166800</x:v>
      </x:c>
      <x:c r="M74" s="5">
        <x:f t="shared" ref="M74:M79" si="11">+K74+L74</x:f>
        <x:v>1834800</x:v>
      </x:c>
      <x:c r="N74" s="6"/>
    </x:row>
    <x:row r="75" spans="1:14" ht="20.100000000000001" customHeight="1">
      <x:c r="A75" s="299"/>
      <x:c r="B75" s="3" t="s">
        <x:v>1181</x:v>
      </x:c>
      <x:c r="C75" s="3" t="s">
        <x:v>817</x:v>
      </x:c>
      <x:c r="D75" s="4"/>
      <x:c r="E75" s="4">
        <x:f>D75*0.1</x:f>
        <x:v>0</x:v>
      </x:c>
      <x:c r="F75" s="5">
        <x:f t="shared" si="10"/>
        <x:v>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1"/>
        <x:v>110000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0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0"/>
        <x:v>0</x:v>
      </x:c>
      <x:c r="G77" s="6"/>
      <x:c r="H77" s="299"/>
      <x:c r="I77" s="3"/>
      <x:c r="J77" s="3"/>
      <x:c r="K77" s="4"/>
      <x:c r="L77" s="4"/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0"/>
        <x:v>0</x:v>
      </x:c>
      <x:c r="G78" s="6"/>
      <x:c r="H78" s="299"/>
      <x:c r="I78" s="3"/>
      <x:c r="J78" s="3"/>
      <x:c r="K78" s="4"/>
      <x:c r="L78" s="4"/>
      <x:c r="M78" s="5">
        <x:f t="shared" si="11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0"/>
        <x:v>0</x:v>
      </x:c>
      <x:c r="G79" s="6"/>
      <x:c r="H79" s="300"/>
      <x:c r="I79" s="3"/>
      <x:c r="J79" s="3"/>
      <x:c r="K79" s="4"/>
      <x:c r="L79" s="4"/>
      <x:c r="M79" s="5">
        <x:f t="shared" si="11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3249420</x:v>
      </x:c>
      <x:c r="E80" s="9">
        <x:f>SUM(E70:E79)</x:f>
        <x:v>217950</x:v>
      </x:c>
      <x:c r="F80" s="10">
        <x:f>SUM(F70:F79)</x:f>
        <x:v>3467370</x:v>
      </x:c>
      <x:c r="G80" s="11"/>
      <x:c r="H80" s="7" t="s">
        <x:v>155</x:v>
      </x:c>
      <x:c r="I80" s="8"/>
      <x:c r="J80" s="8"/>
      <x:c r="K80" s="9">
        <x:f>SUM(K70:K79)</x:f>
        <x:v>3672960</x:v>
      </x:c>
      <x:c r="L80" s="9">
        <x:f>SUM(L70:L79)</x:f>
        <x:v>248000</x:v>
      </x:c>
      <x:c r="M80" s="10">
        <x:f>SUM(M70:M79)</x:f>
        <x:v>3920960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186013890</x:v>
      </x:c>
      <x:c r="E81" s="14">
        <x:f>+E59+E64+E69+E80</x:f>
        <x:v>13350397</x:v>
      </x:c>
      <x:c r="F81" s="15">
        <x:f>+F59+F64+F69+F80</x:f>
        <x:v>199364287</x:v>
      </x:c>
      <x:c r="G81" s="16"/>
      <x:c r="H81" s="12"/>
      <x:c r="I81" s="13"/>
      <x:c r="J81" s="13"/>
      <x:c r="K81" s="14">
        <x:f>+K59+K64+K69+K80</x:f>
        <x:v>123072030</x:v>
      </x:c>
      <x:c r="L81" s="14">
        <x:f>+L59+L64+L69+L80</x:f>
        <x:v>7606907</x:v>
      </x:c>
      <x:c r="M81" s="15">
        <x:f>+M59+M64+M69+M80</x:f>
        <x:v>130678937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-43548095</x:v>
      </x:c>
      <x:c r="E82" s="25">
        <x:f>+E43-E81</x:f>
        <x:v>-2816192</x:v>
      </x:c>
      <x:c r="F82" s="26">
        <x:f>+F43-F81</x:f>
        <x:v>-46364287</x:v>
      </x:c>
      <x:c r="G82" s="27"/>
      <x:c r="H82" s="23"/>
      <x:c r="I82" s="24"/>
      <x:c r="J82" s="24"/>
      <x:c r="K82" s="25">
        <x:f>+K43-K81</x:f>
        <x:v>-43913563</x:v>
      </x:c>
      <x:c r="L82" s="25">
        <x:f>+L43-L81</x:f>
        <x:v>-6765374</x:v>
      </x:c>
      <x:c r="M82" s="26">
        <x:f>+M43-M81</x:f>
        <x:v>-50678937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13" t="s">
        <x:v>144</x:v>
      </x:c>
      <x:c r="C84" s="113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13" t="s">
        <x:v>144</x:v>
      </x:c>
      <x:c r="J84" s="113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79305758</x:v>
      </x:c>
      <x:c r="E85" s="39">
        <x:v>694242</x:v>
      </x:c>
      <x:c r="F85" s="40">
        <x:f>+D85+E85</x:f>
        <x:v>80000000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1174</x:v>
      </x:c>
      <x:c r="D86" s="20">
        <x:v>197650</x:v>
      </x:c>
      <x:c r="E86" s="20">
        <x:f>+D86*0.1</x:f>
        <x:v>19765</x:v>
      </x:c>
      <x:c r="F86" s="21">
        <x:f t="shared" ref="F86:F91" si="12">+D86+E86</x:f>
        <x:v>217415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3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>
        <x:v>19508040</x:v>
      </x:c>
      <x:c r="E87" s="4">
        <x:f>D87*0.1</x:f>
        <x:v>1950804</x:v>
      </x:c>
      <x:c r="F87" s="5">
        <x:f t="shared" si="12"/>
        <x:v>21458844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742</x:v>
      </x:c>
      <x:c r="D88" s="4">
        <x:v>58348</x:v>
      </x:c>
      <x:c r="E88" s="4">
        <x:f>+D88*0.1-1</x:f>
        <x:v>5833.8000000000002</x:v>
      </x:c>
      <x:c r="F88" s="5">
        <x:f t="shared" si="12"/>
        <x:v>64181.800000000003</x:v>
      </x:c>
      <x:c r="G88" s="6"/>
      <x:c r="H88" s="299"/>
      <x:c r="I88" s="3"/>
      <x:c r="J88" s="3"/>
      <x:c r="K88" s="4"/>
      <x:c r="L88" s="4">
        <x:f t="shared" ref="L88:L100" si="14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380</x:v>
      </x:c>
      <x:c r="D89" s="4">
        <x:v>2394800</x:v>
      </x:c>
      <x:c r="E89" s="4">
        <x:f>+D89*0.1</x:f>
        <x:v>239480</x:v>
      </x:c>
      <x:c r="F89" s="5">
        <x:f t="shared" si="12"/>
        <x:v>2634280</x:v>
      </x:c>
      <x:c r="G89" s="6"/>
      <x:c r="H89" s="299"/>
      <x:c r="I89" s="3"/>
      <x:c r="J89" s="3"/>
      <x:c r="K89" s="4"/>
      <x:c r="L89" s="4">
        <x:f t="shared" si="14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 t="s">
        <x:v>976</x:v>
      </x:c>
      <x:c r="C90" s="3" t="s">
        <x:v>366</x:v>
      </x:c>
      <x:c r="D90" s="4">
        <x:v>590000</x:v>
      </x:c>
      <x:c r="E90" s="4">
        <x:f>+D90*0.1</x:f>
        <x:v>59000</x:v>
      </x:c>
      <x:c r="F90" s="5">
        <x:f t="shared" si="12"/>
        <x:v>649000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 t="s">
        <x:v>967</x:v>
      </x:c>
      <x:c r="C91" s="3"/>
      <x:c r="D91" s="4"/>
      <x:c r="E91" s="4">
        <x:f>+D91*0.1</x:f>
        <x:v>0</x:v>
      </x:c>
      <x:c r="F91" s="5">
        <x:f t="shared" si="12"/>
        <x:v>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 t="s">
        <x:v>1705</x:v>
      </x:c>
      <x:c r="C92" s="3" t="s">
        <x:v>1139</x:v>
      </x:c>
      <x:c r="D92" s="4">
        <x:v>224000</x:v>
      </x:c>
      <x:c r="E92" s="4">
        <x:f>+D92*0.1</x:f>
        <x:v>22400</x:v>
      </x:c>
      <x:c r="F92" s="5">
        <x:f>+D92+E92</x:f>
        <x:v>246400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/>
      <x:c r="D93" s="4"/>
      <x:c r="E93" s="4">
        <x:f>+D93*0.1</x:f>
        <x:v>0</x:v>
      </x:c>
      <x:c r="F93" s="5">
        <x:f>+D93+E93</x:f>
        <x:v>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854</x:v>
      </x:c>
      <x:c r="C94" s="3" t="s">
        <x:v>737</x:v>
      </x:c>
      <x:c r="D94" s="4">
        <x:v>22528720</x:v>
      </x:c>
      <x:c r="E94" s="4">
        <x:f t="shared" ref="E94:E100" si="15">+D94*0.1</x:f>
        <x:v>2252872</x:v>
      </x:c>
      <x:c r="F94" s="5">
        <x:f t="shared" ref="F94:F100" si="16">+D94+E94</x:f>
        <x:v>24781592</x:v>
      </x:c>
      <x:c r="G94" s="6"/>
      <x:c r="H94" s="299"/>
      <x:c r="I94" s="3"/>
      <x:c r="J94" s="3"/>
      <x:c r="K94" s="4"/>
      <x:c r="L94" s="4">
        <x:f t="shared" si="14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745</x:v>
      </x:c>
      <x:c r="D95" s="4">
        <x:v>674778</x:v>
      </x:c>
      <x:c r="E95" s="4">
        <x:f t="shared" si="15"/>
        <x:v>67477.800000000003</x:v>
      </x:c>
      <x:c r="F95" s="5">
        <x:f t="shared" si="16"/>
        <x:v>742255.80000000005</x:v>
      </x:c>
      <x:c r="G95" s="6"/>
      <x:c r="H95" s="299"/>
      <x:c r="I95" s="3"/>
      <x:c r="J95" s="3"/>
      <x:c r="K95" s="4"/>
      <x:c r="L95" s="4">
        <x:f t="shared" si="14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 t="s">
        <x:v>1224</x:v>
      </x:c>
      <x:c r="C96" s="3" t="s">
        <x:v>1217</x:v>
      </x:c>
      <x:c r="D96" s="4">
        <x:v>-400000</x:v>
      </x:c>
      <x:c r="E96" s="4">
        <x:f>+INT(D96*0.1)</x:f>
        <x:v>-40000</x:v>
      </x:c>
      <x:c r="F96" s="5">
        <x:f t="shared" si="16"/>
        <x:v>-440000</x:v>
      </x:c>
      <x:c r="G96" s="6" t="s">
        <x:v>1212</x:v>
      </x:c>
      <x:c r="H96" s="299"/>
      <x:c r="I96" s="3"/>
      <x:c r="J96" s="3"/>
      <x:c r="K96" s="4"/>
      <x:c r="L96" s="4">
        <x:f t="shared" si="14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 t="s">
        <x:v>228</x:v>
      </x:c>
      <x:c r="C97" s="3" t="s">
        <x:v>1217</x:v>
      </x:c>
      <x:c r="D97" s="4">
        <x:v>320000</x:v>
      </x:c>
      <x:c r="E97" s="4">
        <x:f>+INT(D97*0.1)</x:f>
        <x:v>32000</x:v>
      </x:c>
      <x:c r="F97" s="5">
        <x:f t="shared" si="16"/>
        <x:v>352000</x:v>
      </x:c>
      <x:c r="G97" s="6" t="s">
        <x:v>1213</x:v>
      </x:c>
      <x:c r="H97" s="299"/>
      <x:c r="I97" s="3"/>
      <x:c r="J97" s="3"/>
      <x:c r="K97" s="4"/>
      <x:c r="L97" s="4">
        <x:f t="shared" si="14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 t="s">
        <x:v>1201</x:v>
      </x:c>
      <x:c r="C98" s="3" t="s">
        <x:v>752</x:v>
      </x:c>
      <x:c r="D98" s="4">
        <x:v>33480000</x:v>
      </x:c>
      <x:c r="E98" s="4">
        <x:f>+INT(D98*0.1)</x:f>
        <x:v>3348000</x:v>
      </x:c>
      <x:c r="F98" s="5">
        <x:f t="shared" si="16"/>
        <x:v>36828000</x:v>
      </x:c>
      <x:c r="G98" s="6" t="s">
        <x:v>753</x:v>
      </x:c>
      <x:c r="H98" s="299"/>
      <x:c r="I98" s="3"/>
      <x:c r="J98" s="3"/>
      <x:c r="K98" s="4"/>
      <x:c r="L98" s="4">
        <x:f t="shared" si="14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5"/>
        <x:v>0</x:v>
      </x:c>
      <x:c r="F99" s="5">
        <x:f t="shared" si="16"/>
        <x:v>0</x:v>
      </x:c>
      <x:c r="G99" s="6"/>
      <x:c r="H99" s="299"/>
      <x:c r="I99" s="3"/>
      <x:c r="J99" s="3"/>
      <x:c r="K99" s="4"/>
      <x:c r="L99" s="4">
        <x:f t="shared" si="14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5"/>
        <x:v>0</x:v>
      </x:c>
      <x:c r="F100" s="5">
        <x:f t="shared" si="16"/>
        <x:v>0</x:v>
      </x:c>
      <x:c r="G100" s="6"/>
      <x:c r="H100" s="300"/>
      <x:c r="I100" s="3"/>
      <x:c r="J100" s="3"/>
      <x:c r="K100" s="4"/>
      <x:c r="L100" s="4">
        <x:f t="shared" si="14"/>
        <x:v>0</x:v>
      </x:c>
      <x:c r="M100" s="5">
        <x:f t="shared" si="13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79576336</x:v>
      </x:c>
      <x:c r="E101" s="9">
        <x:f>SUM(E86:E100)</x:f>
        <x:v>7957632.5999999996</x:v>
      </x:c>
      <x:c r="F101" s="10">
        <x:f>SUM(F86:F100)</x:f>
        <x:v>87533968.599999994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31775000</x:v>
      </x:c>
      <x:c r="E102" s="4"/>
      <x:c r="F102" s="5">
        <x:f>+D102+E102</x:f>
        <x:v>31775000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695</x:v>
      </x:c>
      <x:c r="C103" s="3" t="s">
        <x:v>1127</x:v>
      </x:c>
      <x:c r="D103" s="4">
        <x:v>1080000</x:v>
      </x:c>
      <x:c r="E103" s="4"/>
      <x:c r="F103" s="5">
        <x:f>+D103+E103</x:f>
        <x:v>1080000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32855000</x:v>
      </x:c>
      <x:c r="E106" s="9">
        <x:f>SUM(E102:E105)</x:f>
        <x:v>0</x:v>
      </x:c>
      <x:c r="F106" s="10">
        <x:f>SUM(F102:F105)</x:f>
        <x:v>32855000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>
        <x:v>300000</x:v>
      </x:c>
      <x:c r="E107" s="4">
        <x:f>+D107*0.1</x:f>
        <x:v>30000</x:v>
      </x:c>
      <x:c r="F107" s="5">
        <x:f>+D107+E107</x:f>
        <x:v>330000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60000</x:v>
      </x:c>
      <x:c r="E108" s="4">
        <x:f>+D108*0.1</x:f>
        <x:v>6000</x:v>
      </x:c>
      <x:c r="F108" s="5">
        <x:f>+D108+E108</x:f>
        <x:v>66000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360000</x:v>
      </x:c>
      <x:c r="E111" s="9">
        <x:f>SUM(E107:E110)</x:f>
        <x:v>36000</x:v>
      </x:c>
      <x:c r="F111" s="10">
        <x:f>SUM(F107:F110)</x:f>
        <x:v>396000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553060</x:v>
      </x:c>
      <x:c r="E112" s="4"/>
      <x:c r="F112" s="5">
        <x:f t="shared" ref="F112:F117" si="17">+D112+E112</x:f>
        <x:v>553060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93</x:v>
      </x:c>
      <x:c r="D113" s="4">
        <x:v>100000</x:v>
      </x:c>
      <x:c r="E113" s="4">
        <x:f>+D113*0.1</x:f>
        <x:v>10000</x:v>
      </x:c>
      <x:c r="F113" s="5">
        <x:f t="shared" si="17"/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 t="shared" si="17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1176000</x:v>
      </x:c>
      <x:c r="E115" s="4">
        <x:f>+D115*0.1</x:f>
        <x:v>117600</x:v>
      </x:c>
      <x:c r="F115" s="5">
        <x:f t="shared" si="17"/>
        <x:v>1293600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115000</x:v>
      </x:c>
      <x:c r="E116" s="4">
        <x:f>+D116*0.1</x:f>
        <x:v>11500</x:v>
      </x:c>
      <x:c r="F116" s="5">
        <x:f t="shared" si="17"/>
        <x:v>126500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>
        <x:f>+D117*0.1</x:f>
        <x:v>0</x:v>
      </x:c>
      <x:c r="F117" s="5">
        <x:f t="shared" si="17"/>
        <x:v>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2024060</x:v>
      </x:c>
      <x:c r="E122" s="9">
        <x:f>SUM(E112:E121)</x:f>
        <x:v>147100</x:v>
      </x:c>
      <x:c r="F122" s="10">
        <x:f>SUM(F112:F121)</x:f>
        <x:v>2171160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114815396</x:v>
      </x:c>
      <x:c r="E123" s="14">
        <x:f>+E101+E106+E111+E122</x:f>
        <x:v>8140732.5999999996</x:v>
      </x:c>
      <x:c r="F123" s="15">
        <x:f>+F101+F106+F111+F122</x:f>
        <x:v>122956128.59999999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-35509638</x:v>
      </x:c>
      <x:c r="E124" s="25">
        <x:f>+E85-E123</x:f>
        <x:v>-7446490.5999999996</x:v>
      </x:c>
      <x:c r="F124" s="26">
        <x:f>+F85-F123</x:f>
        <x:v>-42956128.599999994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13" t="s">
        <x:v>144</x:v>
      </x:c>
      <x:c r="C126" s="113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13" t="s">
        <x:v>144</x:v>
      </x:c>
      <x:c r="J126" s="113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12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8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8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19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8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19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8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19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8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19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8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9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0">+INT(D133*0.1)</x:f>
        <x:v>0</x:v>
      </x:c>
      <x:c r="F133" s="5">
        <x:f t="shared" si="18"/>
        <x:v>0</x:v>
      </x:c>
      <x:c r="G133" s="6"/>
      <x:c r="H133" s="299"/>
      <x:c r="I133" s="3"/>
      <x:c r="J133" s="3"/>
      <x:c r="K133" s="4"/>
      <x:c r="L133" s="4">
        <x:f t="shared" ref="L133:L142" si="21">+K133*0.1</x:f>
        <x:v>0</x:v>
      </x:c>
      <x:c r="M133" s="5">
        <x:f t="shared" si="19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0"/>
        <x:v>0</x:v>
      </x:c>
      <x:c r="F134" s="5">
        <x:f t="shared" si="18"/>
        <x:v>0</x:v>
      </x:c>
      <x:c r="G134" s="6"/>
      <x:c r="H134" s="299"/>
      <x:c r="I134" s="3"/>
      <x:c r="J134" s="3"/>
      <x:c r="K134" s="4"/>
      <x:c r="L134" s="4">
        <x:f t="shared" si="21"/>
        <x:v>0</x:v>
      </x:c>
      <x:c r="M134" s="5">
        <x:f t="shared" si="19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0"/>
        <x:v>0</x:v>
      </x:c>
      <x:c r="F135" s="5">
        <x:f t="shared" si="18"/>
        <x:v>0</x:v>
      </x:c>
      <x:c r="G135" s="6"/>
      <x:c r="H135" s="299"/>
      <x:c r="I135" s="3"/>
      <x:c r="J135" s="3"/>
      <x:c r="K135" s="4"/>
      <x:c r="L135" s="4">
        <x:f t="shared" si="21"/>
        <x:v>0</x:v>
      </x:c>
      <x:c r="M135" s="5">
        <x:f t="shared" si="19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0"/>
        <x:v>0</x:v>
      </x:c>
      <x:c r="F136" s="5">
        <x:f t="shared" si="18"/>
        <x:v>0</x:v>
      </x:c>
      <x:c r="G136" s="6"/>
      <x:c r="H136" s="299"/>
      <x:c r="I136" s="3"/>
      <x:c r="J136" s="3"/>
      <x:c r="K136" s="4"/>
      <x:c r="L136" s="4">
        <x:f t="shared" si="21"/>
        <x:v>0</x:v>
      </x:c>
      <x:c r="M136" s="5">
        <x:f t="shared" si="19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0"/>
        <x:v>0</x:v>
      </x:c>
      <x:c r="F137" s="5">
        <x:f t="shared" si="18"/>
        <x:v>0</x:v>
      </x:c>
      <x:c r="G137" s="6"/>
      <x:c r="H137" s="299"/>
      <x:c r="I137" s="3"/>
      <x:c r="J137" s="3"/>
      <x:c r="K137" s="4"/>
      <x:c r="L137" s="4">
        <x:f t="shared" si="21"/>
        <x:v>0</x:v>
      </x:c>
      <x:c r="M137" s="5">
        <x:f t="shared" si="19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0"/>
        <x:v>0</x:v>
      </x:c>
      <x:c r="F138" s="5">
        <x:f t="shared" si="18"/>
        <x:v>0</x:v>
      </x:c>
      <x:c r="G138" s="6"/>
      <x:c r="H138" s="299"/>
      <x:c r="I138" s="3"/>
      <x:c r="J138" s="3"/>
      <x:c r="K138" s="4"/>
      <x:c r="L138" s="4">
        <x:f t="shared" si="21"/>
        <x:v>0</x:v>
      </x:c>
      <x:c r="M138" s="5">
        <x:f t="shared" si="19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0"/>
        <x:v>0</x:v>
      </x:c>
      <x:c r="F139" s="5">
        <x:f t="shared" si="18"/>
        <x:v>0</x:v>
      </x:c>
      <x:c r="G139" s="6"/>
      <x:c r="H139" s="299"/>
      <x:c r="I139" s="3"/>
      <x:c r="J139" s="3"/>
      <x:c r="K139" s="4"/>
      <x:c r="L139" s="4">
        <x:f t="shared" si="21"/>
        <x:v>0</x:v>
      </x:c>
      <x:c r="M139" s="5">
        <x:f t="shared" si="19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0"/>
        <x:v>0</x:v>
      </x:c>
      <x:c r="F140" s="5">
        <x:f t="shared" si="18"/>
        <x:v>0</x:v>
      </x:c>
      <x:c r="G140" s="6"/>
      <x:c r="H140" s="299"/>
      <x:c r="I140" s="3"/>
      <x:c r="J140" s="3"/>
      <x:c r="K140" s="4"/>
      <x:c r="L140" s="4">
        <x:f t="shared" si="21"/>
        <x:v>0</x:v>
      </x:c>
      <x:c r="M140" s="5">
        <x:f t="shared" si="19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0"/>
        <x:v>0</x:v>
      </x:c>
      <x:c r="F141" s="5">
        <x:f t="shared" si="18"/>
        <x:v>0</x:v>
      </x:c>
      <x:c r="G141" s="6"/>
      <x:c r="H141" s="299"/>
      <x:c r="I141" s="3"/>
      <x:c r="J141" s="3"/>
      <x:c r="K141" s="4"/>
      <x:c r="L141" s="4">
        <x:f t="shared" si="21"/>
        <x:v>0</x:v>
      </x:c>
      <x:c r="M141" s="5">
        <x:f t="shared" si="19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1"/>
        <x:v>0</x:v>
      </x:c>
      <x:c r="M142" s="5">
        <x:f t="shared" si="19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2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2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2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3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2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3"/>
        <x:v>0</x:v>
      </x:c>
      <x:c r="G158" s="6"/>
      <x:c r="H158" s="299"/>
      <x:c r="I158" s="3"/>
      <x:c r="J158" s="3"/>
      <x:c r="K158" s="4"/>
      <x:c r="L158" s="4">
        <x:f t="shared" ref="L158:L163" si="24">+K158*0.1</x:f>
        <x:v>0</x:v>
      </x:c>
      <x:c r="M158" s="5">
        <x:f t="shared" si="22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3"/>
        <x:v>0</x:v>
      </x:c>
      <x:c r="G159" s="6"/>
      <x:c r="H159" s="299"/>
      <x:c r="I159" s="3"/>
      <x:c r="J159" s="3"/>
      <x:c r="K159" s="4"/>
      <x:c r="L159" s="4">
        <x:f t="shared" si="24"/>
        <x:v>0</x:v>
      </x:c>
      <x:c r="M159" s="5">
        <x:f t="shared" si="22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3"/>
        <x:v>0</x:v>
      </x:c>
      <x:c r="G160" s="6"/>
      <x:c r="H160" s="299"/>
      <x:c r="I160" s="3"/>
      <x:c r="J160" s="3"/>
      <x:c r="K160" s="4"/>
      <x:c r="L160" s="4">
        <x:f t="shared" si="24"/>
        <x:v>0</x:v>
      </x:c>
      <x:c r="M160" s="5">
        <x:f t="shared" si="22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3"/>
        <x:v>0</x:v>
      </x:c>
      <x:c r="G161" s="6"/>
      <x:c r="H161" s="299"/>
      <x:c r="I161" s="3"/>
      <x:c r="J161" s="3"/>
      <x:c r="K161" s="4"/>
      <x:c r="L161" s="4">
        <x:f t="shared" si="24"/>
        <x:v>0</x:v>
      </x:c>
      <x:c r="M161" s="5">
        <x:f t="shared" si="22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3"/>
        <x:v>0</x:v>
      </x:c>
      <x:c r="G162" s="6"/>
      <x:c r="H162" s="299"/>
      <x:c r="I162" s="3"/>
      <x:c r="J162" s="3"/>
      <x:c r="K162" s="4"/>
      <x:c r="L162" s="4">
        <x:f t="shared" si="24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3"/>
        <x:v>0</x:v>
      </x:c>
      <x:c r="G163" s="6"/>
      <x:c r="H163" s="300"/>
      <x:c r="I163" s="3"/>
      <x:c r="J163" s="3"/>
      <x:c r="K163" s="4"/>
      <x:c r="L163" s="4">
        <x:f t="shared" si="24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223873306</x:v>
      </x:c>
      <x:c r="E169" s="2">
        <x:f>+E17+E59+E101+E143</x:f>
        <x:v>22387329.600000001</x:v>
      </x:c>
      <x:c r="F169" s="2">
        <x:f>+F17+F59+F101+F143</x:f>
        <x:v>246260635.59999999</x:v>
      </x:c>
      <x:c r="K169" s="2">
        <x:f>+K17+K59+K101+K143</x:f>
        <x:v>97021560</x:v>
      </x:c>
      <x:c r="L169" s="2">
        <x:f>+L17+L59+L101+L143</x:f>
        <x:v>9702156</x:v>
      </x:c>
      <x:c r="M169" s="2">
        <x:f>+M17+M59+M101+M143</x:f>
        <x:v>106723716</x:v>
      </x:c>
    </x:row>
    <x:row r="170" spans="1:13">
      <x:c r="A170" s="1" t="s">
        <x:v>153</x:v>
      </x:c>
      <x:c r="D170" s="2">
        <x:f>+D22+D64+D106+D148</x:f>
        <x:v>140685000</x:v>
      </x:c>
      <x:c r="E170" s="2">
        <x:f>+E22+E64+E106+E148</x:f>
        <x:v>742000</x:v>
      </x:c>
      <x:c r="F170" s="2">
        <x:f>+F22+F64+F106+F148</x:f>
        <x:v>141427000</x:v>
      </x:c>
      <x:c r="K170" s="2">
        <x:f>+K22+K64+K106+K148</x:f>
        <x:v>91171000</x:v>
      </x:c>
      <x:c r="L170" s="2">
        <x:f>+L22+L64+L106+L148</x:f>
        <x:v>1016100</x:v>
      </x:c>
      <x:c r="M170" s="2">
        <x:f>+M22+M64+M106+M148</x:f>
        <x:v>92187100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2020000</x:v>
      </x:c>
      <x:c r="E171" s="2">
        <x:f>+E27+E69+E111+E153</x:f>
        <x:v>202000</x:v>
      </x:c>
      <x:c r="F171" s="2">
        <x:f>+F27+F69+F111+F153</x:f>
        <x:v>2222000</x:v>
      </x:c>
      <x:c r="H171" s="1"/>
      <x:c r="I171" s="1"/>
      <x:c r="J171" s="1"/>
      <x:c r="K171" s="2">
        <x:f>+K27+K69+K111+K153</x:f>
        <x:v>730000</x:v>
      </x:c>
      <x:c r="L171" s="2">
        <x:f>+L27+L69+L111+L153</x:f>
        <x:v>73000</x:v>
      </x:c>
      <x:c r="M171" s="2">
        <x:f>+M27+M69+M111+M153</x:f>
        <x:v>803000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11802545</x:v>
      </x:c>
      <x:c r="E172" s="2">
        <x:f>+E38+E80+E122+E164</x:f>
        <x:v>764594.5</x:v>
      </x:c>
      <x:c r="F172" s="2">
        <x:f>+F38+F80+F122+F164</x:f>
        <x:v>12567139.5</x:v>
      </x:c>
      <x:c r="H172" s="1"/>
      <x:c r="I172" s="1"/>
      <x:c r="J172" s="1"/>
      <x:c r="K172" s="2">
        <x:f>+K38+K80+K122+K164</x:f>
        <x:v>6202569</x:v>
      </x:c>
      <x:c r="L172" s="2">
        <x:f>+L38+L80+L122+L164</x:f>
        <x:v>402590.90000000002</x:v>
      </x:c>
      <x:c r="M172" s="2">
        <x:f>+M38+M80+M122+M164</x:f>
        <x:v>6605159.9000000004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378380851</x:v>
      </x:c>
      <x:c r="E173" s="2">
        <x:f>SUM(E169:E172)</x:f>
        <x:v>24095924.100000001</x:v>
      </x:c>
      <x:c r="F173" s="2">
        <x:f>SUM(F169:F172)</x:f>
        <x:v>402476775.10000002</x:v>
      </x:c>
      <x:c r="H173" s="1"/>
      <x:c r="I173" s="1"/>
      <x:c r="J173" s="1"/>
      <x:c r="K173" s="2">
        <x:f>SUM(K169:K172)</x:f>
        <x:v>195125129</x:v>
      </x:c>
      <x:c r="L173" s="2">
        <x:f>SUM(L169:L172)</x:f>
        <x:v>11193846.9</x:v>
      </x:c>
      <x:c r="M173" s="2">
        <x:f>SUM(M169:M172)</x:f>
        <x:v>206318975.90000001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320894866</x:v>
      </x:c>
      <x:c r="E176" s="2">
        <x:f>+E169+L169</x:f>
        <x:v>32089485.600000001</x:v>
      </x:c>
      <x:c r="F176" s="2">
        <x:f>+F169+M169</x:f>
        <x:v>352984351.60000002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5">+D170+K170</x:f>
        <x:v>231856000</x:v>
      </x:c>
      <x:c r="E177" s="2">
        <x:f t="shared" si="25"/>
        <x:v>1758100</x:v>
      </x:c>
      <x:c r="F177" s="2">
        <x:f t="shared" si="25"/>
        <x:v>233614100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5"/>
        <x:v>2750000</x:v>
      </x:c>
      <x:c r="E178" s="2">
        <x:f t="shared" si="25"/>
        <x:v>275000</x:v>
      </x:c>
      <x:c r="F178" s="2">
        <x:f t="shared" si="25"/>
        <x:v>3025000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5"/>
        <x:v>18005114</x:v>
      </x:c>
      <x:c r="E179" s="2">
        <x:f t="shared" si="25"/>
        <x:v>1167185.3999999999</x:v>
      </x:c>
      <x:c r="F179" s="2">
        <x:f t="shared" si="25"/>
        <x:v>19172299.399999999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573505980</x:v>
      </x:c>
      <x:c r="E180" s="2">
        <x:f>SUM(E176:E179)</x:f>
        <x:v>35289771</x:v>
      </x:c>
      <x:c r="F180" s="2">
        <x:f>SUM(F176:F179)</x:f>
        <x:v>608795751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487731020</x:v>
      </x:c>
      <x:c r="E181" s="2">
        <x:f>E4+E43+E85+L4+L43+L85</x:f>
        <x:v>12268980</x:v>
      </x:c>
      <x:c r="F181" s="2">
        <x:f>F4+F43+F85+M4+M43+M85</x:f>
        <x:v>500000000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-85774960</x:v>
      </x:c>
      <x:c r="E182" s="2">
        <x:f>+E181-E180</x:f>
        <x:v>-23020791</x:v>
      </x:c>
      <x:c r="F182" s="2">
        <x:f>+F181-F180</x:f>
        <x:v>-108795751</x:v>
      </x:c>
      <x:c r="H182" s="1"/>
      <x:c r="I182" s="1"/>
      <x:c r="J182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/>
  <x:dimension ref="A1:S22"/>
  <x:sheetViews>
    <x:sheetView view="pageBreakPreview" topLeftCell="A1" zoomScaleNormal="100" zoomScaleSheetLayoutView="100" workbookViewId="0">
      <x:selection activeCell="B24" activeCellId="0" sqref="B24:B24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1773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16"/>
      <x:c r="C2" s="116"/>
      <x:c r="D2" s="116"/>
      <x:c r="E2" s="116"/>
      <x:c r="F2" s="116"/>
      <x:c r="G2" s="116"/>
      <x:c r="H2" s="116"/>
      <x:c r="I2" s="116"/>
      <x:c r="J2" s="116"/>
      <x:c r="K2" s="116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18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634</x:v>
      </x:c>
      <x:c r="C5" s="63" t="s">
        <x:v>901</x:v>
      </x:c>
      <x:c r="D5" s="115" t="s">
        <x:v>97</x:v>
      </x:c>
      <x:c r="E5" s="74">
        <x:f>'20년08월(세부내역)'!D4</x:f>
        <x:v>99710000.400000006</x:v>
      </x:c>
      <x:c r="F5" s="67">
        <x:f>'20년08월(세부내역)'!D17</x:f>
        <x:v>3486060</x:v>
      </x:c>
      <x:c r="G5" s="67">
        <x:f>'20년08월(세부내역)'!D22</x:f>
        <x:v>28175000</x:v>
      </x:c>
      <x:c r="H5" s="67">
        <x:f>'20년08월(세부내역)'!D27</x:f>
        <x:v>0</x:v>
      </x:c>
      <x:c r="I5" s="67">
        <x:f>'20년08월(세부내역)'!D38</x:f>
        <x:v>4917961</x:v>
      </x:c>
      <x:c r="J5" s="75">
        <x:f>+SUM(F5:I5)</x:f>
        <x:v>36579021</x:v>
      </x:c>
      <x:c r="K5" s="9">
        <x:f>E5-J5</x:f>
        <x:v>63130979.400000006</x:v>
      </x:c>
      <x:c r="L5" s="67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'20년08월(세부내역)'!K4</x:f>
        <x:v>99780000</x:v>
      </x:c>
      <x:c r="F6" s="59">
        <x:f>+'20년08월(세부내역)'!K17</x:f>
        <x:v>32562695</x:v>
      </x:c>
      <x:c r="G6" s="59">
        <x:f>'20년08월(세부내역)'!K22</x:f>
        <x:v>38904800</x:v>
      </x:c>
      <x:c r="H6" s="59">
        <x:f>'20년08월(세부내역)'!K27</x:f>
        <x:v>700000</x:v>
      </x:c>
      <x:c r="I6" s="59">
        <x:f>'20년08월(세부내역)'!K38</x:f>
        <x:v>2321721</x:v>
      </x:c>
      <x:c r="J6" s="75">
        <x:f>+SUM(F6:I6)</x:f>
        <x:v>74489216</x:v>
      </x:c>
      <x:c r="K6" s="9">
        <x:f>E6-J6</x:f>
        <x:v>25290784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111</x:v>
      </x:c>
      <x:c r="E7" s="74">
        <x:f>'20년08월(세부내역)'!D43</x:f>
        <x:v>628435044</x:v>
      </x:c>
      <x:c r="F7" s="59">
        <x:f>+'20년08월(세부내역)'!D59</x:f>
        <x:v>313137943</x:v>
      </x:c>
      <x:c r="G7" s="59">
        <x:f>'20년08월(세부내역)'!D64</x:f>
        <x:v>54610000</x:v>
      </x:c>
      <x:c r="H7" s="59">
        <x:f>'20년08월(세부내역)'!D69</x:f>
        <x:v>300000</x:v>
      </x:c>
      <x:c r="I7" s="59">
        <x:f>'20년08월(세부내역)'!D80</x:f>
        <x:v>3901810</x:v>
      </x:c>
      <x:c r="J7" s="75">
        <x:f>+SUM(F7:I7)</x:f>
        <x:v>371949753</x:v>
      </x:c>
      <x:c r="K7" s="80">
        <x:f>E7-J7</x:f>
        <x:v>256485291</x:v>
      </x:c>
      <x:c r="L7" s="119" t="s">
        <x:v>1214</x:v>
      </x:c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108</x:v>
      </x:c>
      <x:c r="E8" s="74">
        <x:f>'20년08월(세부내역)'!K43</x:f>
        <x:v>138527316</x:v>
      </x:c>
      <x:c r="F8" s="59">
        <x:f>'20년08월(세부내역)'!K59</x:f>
        <x:v>30976642</x:v>
      </x:c>
      <x:c r="G8" s="59">
        <x:f>'20년08월(세부내역)'!K64</x:f>
        <x:v>42075000</x:v>
      </x:c>
      <x:c r="H8" s="59">
        <x:f>'20년08월(세부내역)'!K69</x:f>
        <x:v>0</x:v>
      </x:c>
      <x:c r="I8" s="59">
        <x:f>'20년08월(세부내역)'!K80</x:f>
        <x:v>3823150</x:v>
      </x:c>
      <x:c r="J8" s="75">
        <x:f>+SUM(F8:I8)</x:f>
        <x:v>76874792</x:v>
      </x:c>
      <x:c r="K8" s="80">
        <x:f>E8-J8</x:f>
        <x:v>61652524</x:v>
      </x:c>
      <x:c r="L8" s="119"/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101</x:v>
      </x:c>
      <x:c r="E9" s="74">
        <x:f>'20년08월(세부내역)'!D85</x:f>
        <x:v>148698296</x:v>
      </x:c>
      <x:c r="F9" s="59">
        <x:f>'20년08월(세부내역)'!D101</x:f>
        <x:v>34680970</x:v>
      </x:c>
      <x:c r="G9" s="59">
        <x:f>'20년08월(세부내역)'!D106</x:f>
        <x:v>26580000</x:v>
      </x:c>
      <x:c r="H9" s="59">
        <x:f>'20년08월(세부내역)'!D111</x:f>
        <x:v>420000</x:v>
      </x:c>
      <x:c r="I9" s="59">
        <x:f>'20년08월(세부내역)'!D122</x:f>
        <x:v>1707140</x:v>
      </x:c>
      <x:c r="J9" s="75">
        <x:f>+SUM(F9:I9)</x:f>
        <x:v>63388110</x:v>
      </x:c>
      <x:c r="K9" s="80">
        <x:f>E9-J9</x:f>
        <x:v>85310186</x:v>
      </x:c>
      <x:c r="L9" s="119"/>
    </x:row>
    <x:row r="10" spans="1:12" ht="30" customHeight="1">
      <x:c r="A10" s="64"/>
      <x:c r="B10" s="64" t="s">
        <x:v>1690</x:v>
      </x:c>
      <x:c r="C10" s="64"/>
      <x:c r="D10" s="64"/>
      <x:c r="E10" s="68">
        <x:f t="shared" ref="E10:K10" si="0">SUM(E5:E9)</x:f>
        <x:v>1115150656.4000001</x:v>
      </x:c>
      <x:c r="F10" s="66">
        <x:f t="shared" si="0"/>
        <x:v>414844310</x:v>
      </x:c>
      <x:c r="G10" s="66">
        <x:f t="shared" si="0"/>
        <x:v>190344800</x:v>
      </x:c>
      <x:c r="H10" s="66">
        <x:f t="shared" si="0"/>
        <x:v>1420000</x:v>
      </x:c>
      <x:c r="I10" s="66">
        <x:f t="shared" si="0"/>
        <x:v>16671782</x:v>
      </x:c>
      <x:c r="J10" s="69">
        <x:f t="shared" si="0"/>
        <x:v>623280892</x:v>
      </x:c>
      <x:c r="K10" s="121">
        <x:f t="shared" si="0"/>
        <x:v>491869764.39999998</x:v>
      </x:c>
      <x:c r="L10" s="66"/>
    </x:row>
    <x:row r="22" spans="1:19" s="2" customFormat="1">
      <x:c r="A22" s="1"/>
      <x:c r="B22" s="1"/>
      <x:c r="C22" s="1"/>
      <x:c r="D22" s="1"/>
      <x:c r="E22" s="1"/>
      <x:c r="J22" s="1"/>
      <x:c r="K22" s="1"/>
      <x:c r="M22" s="1"/>
      <x:c r="N22" s="1"/>
      <x:c r="O22" s="1"/>
      <x:c r="P22" s="1"/>
      <x:c r="Q22" s="1"/>
      <x:c r="R22" s="1"/>
      <x:c r="S22" s="1"/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/>
  <x:dimension ref="A1:N182"/>
  <x:sheetViews>
    <x:sheetView view="pageBreakPreview" topLeftCell="A10" zoomScaleNormal="100" zoomScaleSheetLayoutView="100" workbookViewId="0">
      <x:selection activeCell="D30" activeCellId="0" sqref="D30:D30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1772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18" t="s">
        <x:v>144</x:v>
      </x:c>
      <x:c r="C3" s="118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18" t="s">
        <x:v>144</x:v>
      </x:c>
      <x:c r="J3" s="118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99710000.400000006</x:v>
      </x:c>
      <x:c r="E4" s="39">
        <x:v>290000</x:v>
      </x:c>
      <x:c r="F4" s="40">
        <x:f t="shared" ref="F4:F11" si="0">+D4+E4</x:f>
        <x:v>100000000.40000001</x:v>
      </x:c>
      <x:c r="G4" s="42"/>
      <x:c r="H4" s="117" t="s">
        <x:v>151</x:v>
      </x:c>
      <x:c r="I4" s="38" t="s">
        <x:v>1679</x:v>
      </x:c>
      <x:c r="J4" s="38" t="s">
        <x:v>1030</x:v>
      </x:c>
      <x:c r="K4" s="39">
        <x:v>99780000</x:v>
      </x:c>
      <x:c r="L4" s="39">
        <x:v>220000</x:v>
      </x:c>
      <x:c r="M4" s="40">
        <x:f>+K4+L4</x:f>
        <x:v>100000000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/>
      <x:c r="D5" s="20"/>
      <x:c r="E5" s="20">
        <x:f t="shared" ref="E5:E10" si="1">+D5*0.1</x:f>
        <x:v>0</x:v>
      </x:c>
      <x:c r="F5" s="21">
        <x:f t="shared" si="0"/>
        <x:v>0</x:v>
      </x:c>
      <x:c r="G5" s="22"/>
      <x:c r="H5" s="298" t="s">
        <x:v>148</x:v>
      </x:c>
      <x:c r="I5" s="19" t="s">
        <x:v>838</x:v>
      </x:c>
      <x:c r="J5" s="19" t="s">
        <x:v>761</x:v>
      </x:c>
      <x:c r="K5" s="20">
        <x:v>2158510</x:v>
      </x:c>
      <x:c r="L5" s="20">
        <x:f t="shared" ref="L5:L11" si="2">+K5*0.1</x:f>
        <x:v>215851</x:v>
      </x:c>
      <x:c r="M5" s="21">
        <x:f t="shared" ref="M5:M21" si="3">+K5+L5</x:f>
        <x:v>2374361</x:v>
      </x:c>
      <x:c r="N5" s="22"/>
    </x:row>
    <x:row r="6" spans="1:14" ht="20.100000000000001" customHeight="1">
      <x:c r="A6" s="299"/>
      <x:c r="B6" s="3" t="s">
        <x:v>867</x:v>
      </x:c>
      <x:c r="C6" s="3" t="s">
        <x:v>369</x:v>
      </x:c>
      <x:c r="D6" s="4">
        <x:v>1368600</x:v>
      </x:c>
      <x:c r="E6" s="4">
        <x:f t="shared" si="1"/>
        <x:v>136860</x:v>
      </x:c>
      <x:c r="F6" s="5">
        <x:f t="shared" si="0"/>
        <x:v>1505460</x:v>
      </x:c>
      <x:c r="G6" s="6"/>
      <x:c r="H6" s="299"/>
      <x:c r="I6" s="3" t="s">
        <x:v>867</x:v>
      </x:c>
      <x:c r="J6" s="3" t="s">
        <x:v>384</x:v>
      </x:c>
      <x:c r="K6" s="4">
        <x:v>8798275</x:v>
      </x:c>
      <x:c r="L6" s="4">
        <x:f>+K6*0.1-1</x:f>
        <x:v>879826.5</x:v>
      </x:c>
      <x:c r="M6" s="5">
        <x:f t="shared" si="3"/>
        <x:v>9678101.5</x:v>
      </x:c>
      <x:c r="N6" s="6"/>
    </x:row>
    <x:row r="7" spans="1:14" ht="20.100000000000001" customHeight="1">
      <x:c r="A7" s="299"/>
      <x:c r="B7" s="3" t="s">
        <x:v>840</x:v>
      </x:c>
      <x:c r="C7" s="3" t="s">
        <x:v>367</x:v>
      </x:c>
      <x:c r="D7" s="4">
        <x:v>79500</x:v>
      </x:c>
      <x:c r="E7" s="4">
        <x:f t="shared" si="1"/>
        <x:v>7950</x:v>
      </x:c>
      <x:c r="F7" s="5">
        <x:f t="shared" si="0"/>
        <x:v>87450</x:v>
      </x:c>
      <x:c r="G7" s="6"/>
      <x:c r="H7" s="299"/>
      <x:c r="I7" s="3" t="s">
        <x:v>1119</x:v>
      </x:c>
      <x:c r="J7" s="3" t="s">
        <x:v>373</x:v>
      </x:c>
      <x:c r="K7" s="4">
        <x:v>319800</x:v>
      </x:c>
      <x:c r="L7" s="4">
        <x:f t="shared" si="2"/>
        <x:v>31980</x:v>
      </x:c>
      <x:c r="M7" s="5">
        <x:f t="shared" si="3"/>
        <x:v>351780</x:v>
      </x:c>
      <x:c r="N7" s="6"/>
    </x:row>
    <x:row r="8" spans="1:14" ht="20.100000000000001" customHeight="1">
      <x:c r="A8" s="299"/>
      <x:c r="B8" s="3" t="s">
        <x:v>854</x:v>
      </x:c>
      <x:c r="C8" s="3" t="s">
        <x:v>381</x:v>
      </x:c>
      <x:c r="D8" s="4">
        <x:v>159140</x:v>
      </x:c>
      <x:c r="E8" s="4">
        <x:f t="shared" si="1"/>
        <x:v>15914</x:v>
      </x:c>
      <x:c r="F8" s="5">
        <x:f t="shared" si="0"/>
        <x:v>175054</x:v>
      </x:c>
      <x:c r="G8" s="6"/>
      <x:c r="H8" s="299"/>
      <x:c r="I8" s="3" t="s">
        <x:v>976</x:v>
      </x:c>
      <x:c r="J8" s="3" t="s">
        <x:v>378</x:v>
      </x:c>
      <x:c r="K8" s="4">
        <x:v>230000</x:v>
      </x:c>
      <x:c r="L8" s="4">
        <x:f t="shared" si="2"/>
        <x:v>23000</x:v>
      </x:c>
      <x:c r="M8" s="5">
        <x:f t="shared" si="3"/>
        <x:v>253000</x:v>
      </x:c>
      <x:c r="N8" s="6"/>
    </x:row>
    <x:row r="9" spans="1:14" ht="20.100000000000001" customHeight="1">
      <x:c r="A9" s="299"/>
      <x:c r="B9" s="3" t="s">
        <x:v>864</x:v>
      </x:c>
      <x:c r="C9" s="3" t="s">
        <x:v>758</x:v>
      </x:c>
      <x:c r="D9" s="4">
        <x:v>204690</x:v>
      </x:c>
      <x:c r="E9" s="4">
        <x:f t="shared" si="1"/>
        <x:v>20469</x:v>
      </x:c>
      <x:c r="F9" s="5">
        <x:f t="shared" si="0"/>
        <x:v>225159</x:v>
      </x:c>
      <x:c r="G9" s="6"/>
      <x:c r="H9" s="299"/>
      <x:c r="I9" s="3" t="s">
        <x:v>840</x:v>
      </x:c>
      <x:c r="J9" s="3" t="s">
        <x:v>1210</x:v>
      </x:c>
      <x:c r="K9" s="4">
        <x:v>102000</x:v>
      </x:c>
      <x:c r="L9" s="4">
        <x:f t="shared" si="2"/>
        <x:v>10200</x:v>
      </x:c>
      <x:c r="M9" s="5">
        <x:f t="shared" si="3"/>
        <x:v>112200</x:v>
      </x:c>
      <x:c r="N9" s="6"/>
    </x:row>
    <x:row r="10" spans="1:14" ht="20.100000000000001" customHeight="1">
      <x:c r="A10" s="299"/>
      <x:c r="B10" s="3" t="s">
        <x:v>1705</x:v>
      </x:c>
      <x:c r="C10" s="3"/>
      <x:c r="D10" s="4"/>
      <x:c r="E10" s="4">
        <x:f t="shared" si="1"/>
        <x:v>0</x:v>
      </x:c>
      <x:c r="F10" s="5">
        <x:f t="shared" si="0"/>
        <x:v>0</x:v>
      </x:c>
      <x:c r="G10" s="6"/>
      <x:c r="H10" s="299"/>
      <x:c r="I10" s="3" t="s">
        <x:v>967</x:v>
      </x:c>
      <x:c r="J10" s="3"/>
      <x:c r="K10" s="4"/>
      <x:c r="L10" s="4">
        <x:f t="shared" si="2"/>
        <x:v>0</x:v>
      </x:c>
      <x:c r="M10" s="5">
        <x:f t="shared" si="3"/>
        <x:v>0</x:v>
      </x:c>
      <x:c r="N10" s="6"/>
    </x:row>
    <x:row r="11" spans="1:14" ht="20.100000000000001" customHeight="1">
      <x:c r="A11" s="299"/>
      <x:c r="B11" s="3" t="s">
        <x:v>846</x:v>
      </x:c>
      <x:c r="C11" s="3" t="s">
        <x:v>754</x:v>
      </x:c>
      <x:c r="D11" s="4">
        <x:v>1674130</x:v>
      </x:c>
      <x:c r="E11" s="4">
        <x:f>+D11*0.1-1</x:f>
        <x:v>167412</x:v>
      </x:c>
      <x:c r="F11" s="45">
        <x:f t="shared" si="0"/>
        <x:v>1841542</x:v>
      </x:c>
      <x:c r="G11" s="6"/>
      <x:c r="H11" s="299"/>
      <x:c r="I11" s="3" t="s">
        <x:v>846</x:v>
      </x:c>
      <x:c r="J11" s="3" t="s">
        <x:v>754</x:v>
      </x:c>
      <x:c r="K11" s="4">
        <x:v>757260</x:v>
      </x:c>
      <x:c r="L11" s="4">
        <x:f t="shared" si="2"/>
        <x:v>75726</x:v>
      </x:c>
      <x:c r="M11" s="5">
        <x:f t="shared" si="3"/>
        <x:v>832986</x:v>
      </x:c>
      <x:c r="N11" s="6"/>
    </x:row>
    <x:row r="12" spans="1:14" ht="20.100000000000001" customHeight="1">
      <x:c r="A12" s="299"/>
      <x:c r="B12" s="3"/>
      <x:c r="C12" s="3"/>
      <x:c r="D12" s="4"/>
      <x:c r="E12" s="4"/>
      <x:c r="F12" s="5"/>
      <x:c r="G12" s="6"/>
      <x:c r="H12" s="299"/>
      <x:c r="I12" s="3" t="s">
        <x:v>1705</x:v>
      </x:c>
      <x:c r="J12" s="3" t="s">
        <x:v>1167</x:v>
      </x:c>
      <x:c r="K12" s="4">
        <x:v>546000</x:v>
      </x:c>
      <x:c r="L12" s="4">
        <x:f>+K12*0.1</x:f>
        <x:v>54600</x:v>
      </x:c>
      <x:c r="M12" s="5">
        <x:f>+K12+L12</x:f>
        <x:v>600600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45"/>
      <x:c r="G13" s="6"/>
      <x:c r="H13" s="299"/>
      <x:c r="I13" s="3" t="s">
        <x:v>854</x:v>
      </x:c>
      <x:c r="J13" s="3" t="s">
        <x:v>1200</x:v>
      </x:c>
      <x:c r="K13" s="4">
        <x:v>15881350</x:v>
      </x:c>
      <x:c r="L13" s="4">
        <x:f>+K13*0.1</x:f>
        <x:v>1588135</x:v>
      </x:c>
      <x:c r="M13" s="5">
        <x:f>+K13+L13</x:f>
        <x:v>17469485</x:v>
      </x:c>
      <x:c r="N13" s="6"/>
    </x:row>
    <x:row r="14" spans="1:14" ht="20.100000000000001" customHeight="1">
      <x:c r="A14" s="299"/>
      <x:c r="B14" s="3"/>
      <x:c r="C14" s="3"/>
      <x:c r="D14" s="4"/>
      <x:c r="E14" s="4"/>
      <x:c r="F14" s="45"/>
      <x:c r="G14" s="6"/>
      <x:c r="H14" s="299"/>
      <x:c r="I14" s="3" t="s">
        <x:v>1058</x:v>
      </x:c>
      <x:c r="J14" s="3" t="s">
        <x:v>387</x:v>
      </x:c>
      <x:c r="K14" s="4">
        <x:v>3769500</x:v>
      </x:c>
      <x:c r="L14" s="4">
        <x:f>K14*0.1</x:f>
        <x:v>376950</x:v>
      </x:c>
      <x:c r="M14" s="5">
        <x:f>+K14+L14</x:f>
        <x:v>4146450</x:v>
      </x:c>
      <x:c r="N14" s="6"/>
    </x:row>
    <x:row r="15" spans="1:14" ht="20.100000000000001" customHeight="1">
      <x:c r="A15" s="299"/>
      <x:c r="B15" s="3"/>
      <x:c r="C15" s="3"/>
      <x:c r="D15" s="4"/>
      <x:c r="E15" s="4"/>
      <x:c r="F15" s="45"/>
      <x:c r="G15" s="6"/>
      <x:c r="H15" s="299"/>
      <x:c r="I15" s="3"/>
      <x:c r="J15" s="3"/>
      <x:c r="K15" s="4"/>
      <x:c r="L15" s="4">
        <x:f>K15*0.1</x:f>
        <x:v>0</x:v>
      </x:c>
      <x:c r="M15" s="5">
        <x:f t="shared" si="3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/>
      <x:c r="F16" s="45"/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3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3486060</x:v>
      </x:c>
      <x:c r="E17" s="9">
        <x:f>SUM(E5:E16)</x:f>
        <x:v>348605</x:v>
      </x:c>
      <x:c r="F17" s="10">
        <x:f>SUM(F5:F16)</x:f>
        <x:v>3834665</x:v>
      </x:c>
      <x:c r="G17" s="11"/>
      <x:c r="H17" s="7"/>
      <x:c r="I17" s="8"/>
      <x:c r="J17" s="8"/>
      <x:c r="K17" s="9">
        <x:f>SUM(K5:K16)</x:f>
        <x:v>32562695</x:v>
      </x:c>
      <x:c r="L17" s="9">
        <x:f>SUM(L5:L16)</x:f>
        <x:v>3256268.5</x:v>
      </x:c>
      <x:c r="M17" s="10">
        <x:f>SUM(M5:M16)</x:f>
        <x:v>35818963.5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28175000</x:v>
      </x:c>
      <x:c r="E18" s="44"/>
      <x:c r="F18" s="45">
        <x:f>+D18+E18</x:f>
        <x:v>28175000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f>15720000+4500000</x:f>
        <x:v>20220000</x:v>
      </x:c>
      <x:c r="L18" s="4"/>
      <x:c r="M18" s="5">
        <x:f t="shared" si="3"/>
        <x:v>20220000</x:v>
      </x:c>
      <x:c r="N18" s="6"/>
    </x:row>
    <x:row r="19" spans="1:14" ht="20.100000000000001" customHeight="1">
      <x:c r="A19" s="299"/>
      <x:c r="B19" s="3"/>
      <x:c r="C19" s="3"/>
      <x:c r="D19" s="4"/>
      <x:c r="E19" s="4"/>
      <x:c r="F19" s="5">
        <x:f>+D19+E19</x:f>
        <x:v>0</x:v>
      </x:c>
      <x:c r="G19" s="37"/>
      <x:c r="H19" s="299"/>
      <x:c r="I19" s="3" t="s">
        <x:v>695</x:v>
      </x:c>
      <x:c r="J19" s="3" t="s">
        <x:v>1107</x:v>
      </x:c>
      <x:c r="K19" s="4">
        <x:v>11680000</x:v>
      </x:c>
      <x:c r="L19" s="4"/>
      <x:c r="M19" s="5">
        <x:f t="shared" si="3"/>
        <x:v>11680000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>
        <x:v>7004800</x:v>
      </x:c>
      <x:c r="L20" s="4">
        <x:f>+K20*0.1</x:f>
        <x:v>700480</x:v>
      </x:c>
      <x:c r="M20" s="5">
        <x:f t="shared" si="3"/>
        <x:v>7705280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3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28175000</x:v>
      </x:c>
      <x:c r="E22" s="9">
        <x:f>SUM(E18:E21)</x:f>
        <x:v>0</x:v>
      </x:c>
      <x:c r="F22" s="10">
        <x:f>SUM(F18:F21)</x:f>
        <x:v>28175000</x:v>
      </x:c>
      <x:c r="G22" s="11"/>
      <x:c r="H22" s="7"/>
      <x:c r="I22" s="8"/>
      <x:c r="J22" s="8"/>
      <x:c r="K22" s="9">
        <x:f>SUM(K18:K21)</x:f>
        <x:v>38904800</x:v>
      </x:c>
      <x:c r="L22" s="9">
        <x:f>SUM(L18:L21)</x:f>
        <x:v>700480</x:v>
      </x:c>
      <x:c r="M22" s="10">
        <x:f>SUM(M18:M21)</x:f>
        <x:v>39605280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600000</x:v>
      </x:c>
      <x:c r="L23" s="4">
        <x:f>+K23*0.1</x:f>
        <x:v>60000</x:v>
      </x:c>
      <x:c r="M23" s="5">
        <x:f>+K23+L23</x:f>
        <x:v>660000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100000</x:v>
      </x:c>
      <x:c r="L24" s="4">
        <x:f>K24*0.1</x:f>
        <x:v>10000</x:v>
      </x:c>
      <x:c r="M24" s="5">
        <x:f>+K24+L24</x:f>
        <x:v>110000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700000</x:v>
      </x:c>
      <x:c r="L27" s="9">
        <x:f>SUM(L23:L26)</x:f>
        <x:v>70000</x:v>
      </x:c>
      <x:c r="M27" s="10">
        <x:f>SUM(M23:M26)</x:f>
        <x:v>770000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1718870</x:v>
      </x:c>
      <x:c r="E28" s="44">
        <x:v>7000</x:v>
      </x:c>
      <x:c r="F28" s="5">
        <x:f>+D28+E28</x:f>
        <x:v>1725870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928540</x:v>
      </x:c>
      <x:c r="L28" s="4">
        <x:v>7000</x:v>
      </x:c>
      <x:c r="M28" s="5">
        <x:f t="shared" ref="M28:M37" si="4">+K28+L28</x:f>
        <x:v>935540</x:v>
      </x:c>
      <x:c r="N28" s="6"/>
    </x:row>
    <x:row r="29" spans="1:14" ht="20.100000000000001" customHeight="1">
      <x:c r="A29" s="299"/>
      <x:c r="B29" s="3" t="s">
        <x:v>959</x:v>
      </x:c>
      <x:c r="C29" s="3" t="s">
        <x:v>739</x:v>
      </x:c>
      <x:c r="D29" s="4">
        <x:v>1974545</x:v>
      </x:c>
      <x:c r="E29" s="4">
        <x:f>+D29*0.1</x:f>
        <x:v>197454.5</x:v>
      </x:c>
      <x:c r="F29" s="5">
        <x:f>+D29+E29</x:f>
        <x:v>2171999.5</x:v>
      </x:c>
      <x:c r="G29" s="6"/>
      <x:c r="H29" s="299"/>
      <x:c r="I29" s="3" t="s">
        <x:v>1205</x:v>
      </x:c>
      <x:c r="J29" s="3" t="s">
        <x:v>28</x:v>
      </x:c>
      <x:c r="K29" s="4">
        <x:v>578181</x:v>
      </x:c>
      <x:c r="L29" s="4">
        <x:f>+K29*0.1+1</x:f>
        <x:v>57819.100000000006</x:v>
      </x:c>
      <x:c r="M29" s="5">
        <x:f t="shared" si="4"/>
        <x:v>636000.09999999998</x:v>
      </x:c>
      <x:c r="N29" s="6"/>
    </x:row>
    <x:row r="30" spans="1:14" ht="20.100000000000001" customHeight="1">
      <x:c r="A30" s="299"/>
      <x:c r="B30" s="3" t="s">
        <x:v>186</x:v>
      </x:c>
      <x:c r="C30" s="3" t="s">
        <x:v>941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130000</x:v>
      </x:c>
      <x:c r="E31" s="4">
        <x:f>+D31*0.1</x:f>
        <x:v>13000</x:v>
      </x:c>
      <x:c r="F31" s="5">
        <x:f t="shared" ref="F31:F37" si="5">+D31+E31</x:f>
        <x:v>143000</x:v>
      </x:c>
      <x:c r="G31" s="6"/>
      <x:c r="H31" s="299"/>
      <x:c r="I31" s="3" t="s">
        <x:v>883</x:v>
      </x:c>
      <x:c r="J31" s="3" t="s">
        <x:v>1763</x:v>
      </x:c>
      <x:c r="K31" s="4">
        <x:v>200000</x:v>
      </x:c>
      <x:c r="L31" s="4">
        <x:f>K31*0.1</x:f>
        <x:v>20000</x:v>
      </x:c>
      <x:c r="M31" s="5">
        <x:f t="shared" si="4"/>
        <x:v>220000</x:v>
      </x:c>
      <x:c r="N31" s="6"/>
    </x:row>
    <x:row r="32" spans="1:14" ht="20.100000000000001" customHeight="1">
      <x:c r="A32" s="299"/>
      <x:c r="B32" s="3" t="s">
        <x:v>1699</x:v>
      </x:c>
      <x:c r="C32" s="3" t="s">
        <x:v>167</x:v>
      </x:c>
      <x:c r="D32" s="4">
        <x:v>120000</x:v>
      </x:c>
      <x:c r="E32" s="4">
        <x:f>+D32*0.1</x:f>
        <x:v>12000</x:v>
      </x:c>
      <x:c r="F32" s="5">
        <x:f t="shared" si="5"/>
        <x:v>132000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4"/>
        <x:v>110000</x:v>
      </x:c>
      <x:c r="N32" s="6"/>
    </x:row>
    <x:row r="33" spans="1:14" ht="20.100000000000001" customHeight="1">
      <x:c r="A33" s="299"/>
      <x:c r="B33" s="3" t="s">
        <x:v>994</x:v>
      </x:c>
      <x:c r="C33" s="3" t="s">
        <x:v>8</x:v>
      </x:c>
      <x:c r="D33" s="4">
        <x:v>424546</x:v>
      </x:c>
      <x:c r="E33" s="4">
        <x:f>+INT(D33*0.1)</x:f>
        <x:v>42454</x:v>
      </x:c>
      <x:c r="F33" s="5">
        <x:f t="shared" si="5"/>
        <x:v>467000</x:v>
      </x:c>
      <x:c r="G33" s="6"/>
      <x:c r="H33" s="299"/>
      <x:c r="I33" s="3" t="s">
        <x:v>1120</x:v>
      </x:c>
      <x:c r="J33" s="3" t="s">
        <x:v>167</x:v>
      </x:c>
      <x:c r="K33" s="4">
        <x:v>15000</x:v>
      </x:c>
      <x:c r="L33" s="4">
        <x:f>K33*0.1</x:f>
        <x:v>1500</x:v>
      </x:c>
      <x:c r="M33" s="5">
        <x:f t="shared" si="4"/>
        <x:v>16500</x:v>
      </x:c>
      <x:c r="N33" s="6"/>
    </x:row>
    <x:row r="34" spans="1:14" ht="20.100000000000001" customHeight="1">
      <x:c r="A34" s="299"/>
      <x:c r="B34" s="3"/>
      <x:c r="C34" s="3"/>
      <x:c r="D34" s="4"/>
      <x:c r="E34" s="4">
        <x:f>+D34*0.1</x:f>
        <x:v>0</x:v>
      </x:c>
      <x:c r="F34" s="5">
        <x:f t="shared" si="5"/>
        <x:v>0</x:v>
      </x:c>
      <x:c r="G34" s="6"/>
      <x:c r="H34" s="299"/>
      <x:c r="I34" s="3"/>
      <x:c r="J34" s="3"/>
      <x:c r="K34" s="4"/>
      <x:c r="L34" s="4"/>
      <x:c r="M34" s="5">
        <x:f t="shared" si="4"/>
        <x:v>0</x:v>
      </x:c>
      <x:c r="N34" s="6"/>
    </x:row>
    <x:row r="35" spans="1:14" ht="20.100000000000001" customHeight="1">
      <x:c r="A35" s="299"/>
      <x:c r="B35" s="3"/>
      <x:c r="C35" s="3"/>
      <x:c r="D35" s="44"/>
      <x:c r="E35" s="44"/>
      <x:c r="F35" s="5">
        <x:f t="shared" si="5"/>
        <x:v>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/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4917961</x:v>
      </x:c>
      <x:c r="E38" s="9">
        <x:f>SUM(E28:E37)</x:f>
        <x:v>271908.5</x:v>
      </x:c>
      <x:c r="F38" s="10">
        <x:f>SUM(F28:F37)</x:f>
        <x:v>5189869.5</x:v>
      </x:c>
      <x:c r="G38" s="11"/>
      <x:c r="H38" s="7"/>
      <x:c r="I38" s="8"/>
      <x:c r="J38" s="8"/>
      <x:c r="K38" s="9">
        <x:f>SUM(K28:K37)</x:f>
        <x:v>2321721</x:v>
      </x:c>
      <x:c r="L38" s="9">
        <x:f>SUM(L28:L37)</x:f>
        <x:v>146319.10000000001</x:v>
      </x:c>
      <x:c r="M38" s="10">
        <x:f>SUM(M28:M37)</x:f>
        <x:v>2468040.1000000001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36579021</x:v>
      </x:c>
      <x:c r="E39" s="14">
        <x:f>+E17+E22+E27+E38</x:f>
        <x:v>620513.5</x:v>
      </x:c>
      <x:c r="F39" s="15">
        <x:f>+F17+F22+F27+F38</x:f>
        <x:v>37199534.5</x:v>
      </x:c>
      <x:c r="G39" s="16"/>
      <x:c r="H39" s="12"/>
      <x:c r="I39" s="13"/>
      <x:c r="J39" s="13"/>
      <x:c r="K39" s="14">
        <x:f>+K17+K22+K27+K38</x:f>
        <x:v>74489216</x:v>
      </x:c>
      <x:c r="L39" s="14">
        <x:f>+L17+L22+L27+L38</x:f>
        <x:v>4173067.6000000001</x:v>
      </x:c>
      <x:c r="M39" s="15">
        <x:f>+M17+M22+M27+M38</x:f>
        <x:v>78662283.599999994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63130979.400000006</x:v>
      </x:c>
      <x:c r="E40" s="25">
        <x:f>+E4-E39</x:f>
        <x:v>-330513.5</x:v>
      </x:c>
      <x:c r="F40" s="26">
        <x:f>+F4-F39</x:f>
        <x:v>62800465.900000006</x:v>
      </x:c>
      <x:c r="G40" s="27"/>
      <x:c r="H40" s="23"/>
      <x:c r="I40" s="24"/>
      <x:c r="J40" s="24"/>
      <x:c r="K40" s="25">
        <x:f>+K4-K39</x:f>
        <x:v>25290784</x:v>
      </x:c>
      <x:c r="L40" s="25">
        <x:f>+L4-L39</x:f>
        <x:v>-3953067.6000000001</x:v>
      </x:c>
      <x:c r="M40" s="26">
        <x:f>+M4-M39</x:f>
        <x:v>21337716.400000006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18" t="s">
        <x:v>144</x:v>
      </x:c>
      <x:c r="C42" s="118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18" t="s">
        <x:v>144</x:v>
      </x:c>
      <x:c r="J42" s="118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17" t="s">
        <x:v>151</x:v>
      </x:c>
      <x:c r="B43" s="38" t="s">
        <x:v>1679</x:v>
      </x:c>
      <x:c r="C43" s="38" t="s">
        <x:v>1030</x:v>
      </x:c>
      <x:c r="D43" s="39">
        <x:f>462781044+165654000</x:f>
        <x:v>628435044</x:v>
      </x:c>
      <x:c r="E43" s="39">
        <x:f>34218956+16565400</x:f>
        <x:v>50784356</x:v>
      </x:c>
      <x:c r="F43" s="40">
        <x:f t="shared" ref="F43:F58" si="6">+D43+E43</x:f>
        <x:v>679219400</x:v>
      </x:c>
      <x:c r="G43" s="18" t="s">
        <x:v>1214</x:v>
      </x:c>
      <x:c r="H43" s="117" t="s">
        <x:v>151</x:v>
      </x:c>
      <x:c r="I43" s="38" t="s">
        <x:v>1679</x:v>
      </x:c>
      <x:c r="J43" s="38" t="s">
        <x:v>1030</x:v>
      </x:c>
      <x:c r="K43" s="39">
        <x:v>138527316</x:v>
      </x:c>
      <x:c r="L43" s="39">
        <x:v>1472684</x:v>
      </x:c>
      <x:c r="M43" s="40">
        <x:f>+K43+L43</x:f>
        <x:v>140000000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1116</x:v>
      </x:c>
      <x:c r="D44" s="20">
        <x:v>121500</x:v>
      </x:c>
      <x:c r="E44" s="20">
        <x:f>D44*0.1</x:f>
        <x:v>12150</x:v>
      </x:c>
      <x:c r="F44" s="21">
        <x:f t="shared" si="6"/>
        <x:v>133650</x:v>
      </x:c>
      <x:c r="G44" s="22"/>
      <x:c r="H44" s="298" t="s">
        <x:v>148</x:v>
      </x:c>
      <x:c r="I44" s="19" t="s">
        <x:v>838</x:v>
      </x:c>
      <x:c r="J44" s="19" t="s">
        <x:v>1116</x:v>
      </x:c>
      <x:c r="K44" s="20">
        <x:v>984310</x:v>
      </x:c>
      <x:c r="L44" s="20">
        <x:f>+K44*0.1</x:f>
        <x:v>98431</x:v>
      </x:c>
      <x:c r="M44" s="21">
        <x:f>+K44+L44</x:f>
        <x:v>1082741</x:v>
      </x:c>
      <x:c r="N44" s="22"/>
    </x:row>
    <x:row r="45" spans="1:14" ht="20.100000000000001" customHeight="1">
      <x:c r="A45" s="299"/>
      <x:c r="B45" s="3" t="s">
        <x:v>840</x:v>
      </x:c>
      <x:c r="C45" s="3" t="s">
        <x:v>383</x:v>
      </x:c>
      <x:c r="D45" s="4">
        <x:v>1443300</x:v>
      </x:c>
      <x:c r="E45" s="4">
        <x:f>D45*0.1</x:f>
        <x:v>144330</x:v>
      </x:c>
      <x:c r="F45" s="5">
        <x:f t="shared" si="6"/>
        <x:v>1587630</x:v>
      </x:c>
      <x:c r="G45" s="6"/>
      <x:c r="H45" s="299"/>
      <x:c r="I45" s="3" t="s">
        <x:v>867</x:v>
      </x:c>
      <x:c r="J45" s="3" t="s">
        <x:v>384</x:v>
      </x:c>
      <x:c r="K45" s="4">
        <x:v>13253832</x:v>
      </x:c>
      <x:c r="L45" s="4">
        <x:f>+K45*0.1</x:f>
        <x:v>1325383.2000000002</x:v>
      </x:c>
      <x:c r="M45" s="5">
        <x:f>+K45+L45</x:f>
        <x:v>14579215.199999999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71255543</x:v>
      </x:c>
      <x:c r="E46" s="4">
        <x:f>D46*0.1</x:f>
        <x:v>7125554.3000000007</x:v>
      </x:c>
      <x:c r="F46" s="5">
        <x:f t="shared" si="6"/>
        <x:v>78381097.299999997</x:v>
      </x:c>
      <x:c r="G46" s="6"/>
      <x:c r="H46" s="299"/>
      <x:c r="I46" s="3" t="s">
        <x:v>840</x:v>
      </x:c>
      <x:c r="J46" s="3" t="s">
        <x:v>383</x:v>
      </x:c>
      <x:c r="K46" s="4">
        <x:v>182000</x:v>
      </x:c>
      <x:c r="L46" s="4">
        <x:f>+INT(K46*0.1)</x:f>
        <x:v>18200</x:v>
      </x:c>
      <x:c r="M46" s="5">
        <x:f t="shared" ref="M46:M57" si="7">+K46+L46</x:f>
        <x:v>200200</x:v>
      </x:c>
      <x:c r="N46" s="6"/>
    </x:row>
    <x:row r="47" spans="1:14" ht="20.100000000000001" customHeight="1">
      <x:c r="A47" s="299"/>
      <x:c r="B47" s="3" t="s">
        <x:v>976</x:v>
      </x:c>
      <x:c r="C47" s="3"/>
      <x:c r="D47" s="4"/>
      <x:c r="E47" s="4">
        <x:f>D47*0.1</x:f>
        <x:v>0</x:v>
      </x:c>
      <x:c r="F47" s="5">
        <x:f t="shared" si="6"/>
        <x:v>0</x:v>
      </x:c>
      <x:c r="G47" s="6"/>
      <x:c r="H47" s="299"/>
      <x:c r="I47" s="3" t="s">
        <x:v>976</x:v>
      </x:c>
      <x:c r="J47" s="3" t="s">
        <x:v>685</x:v>
      </x:c>
      <x:c r="K47" s="4">
        <x:v>503550</x:v>
      </x:c>
      <x:c r="L47" s="4">
        <x:f t="shared" ref="L47:L57" si="8">+INT(K47*0.1)</x:f>
        <x:v>50355</x:v>
      </x:c>
      <x:c r="M47" s="5">
        <x:f t="shared" si="7"/>
        <x:v>553905</x:v>
      </x:c>
      <x:c r="N47" s="6"/>
    </x:row>
    <x:row r="48" spans="1:14" ht="20.100000000000001" customHeight="1">
      <x:c r="A48" s="299"/>
      <x:c r="B48" s="3" t="s">
        <x:v>1058</x:v>
      </x:c>
      <x:c r="C48" s="3" t="s">
        <x:v>387</x:v>
      </x:c>
      <x:c r="D48" s="4">
        <x:v>2082100</x:v>
      </x:c>
      <x:c r="E48" s="4">
        <x:f>D48*0.1</x:f>
        <x:v>208210</x:v>
      </x:c>
      <x:c r="F48" s="5">
        <x:f t="shared" si="6"/>
        <x:v>2290310</x:v>
      </x:c>
      <x:c r="G48" s="6"/>
      <x:c r="H48" s="299"/>
      <x:c r="I48" s="3" t="s">
        <x:v>1058</x:v>
      </x:c>
      <x:c r="J48" s="3"/>
      <x:c r="K48" s="4"/>
      <x:c r="L48" s="4">
        <x:f t="shared" si="8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 t="s">
        <x:v>854</x:v>
      </x:c>
      <x:c r="C49" s="3" t="s">
        <x:v>760</x:v>
      </x:c>
      <x:c r="D49" s="4">
        <x:v>38530600</x:v>
      </x:c>
      <x:c r="E49" s="4">
        <x:f t="shared" ref="E49:E58" si="9">+INT(D49*0.1)</x:f>
        <x:v>3853060</x:v>
      </x:c>
      <x:c r="F49" s="5">
        <x:f t="shared" si="6"/>
        <x:v>42383660</x:v>
      </x:c>
      <x:c r="G49" s="6"/>
      <x:c r="H49" s="299"/>
      <x:c r="I49" s="3" t="s">
        <x:v>967</x:v>
      </x:c>
      <x:c r="J49" s="3" t="s">
        <x:v>1207</x:v>
      </x:c>
      <x:c r="K49" s="4">
        <x:v>540000</x:v>
      </x:c>
      <x:c r="L49" s="4">
        <x:f t="shared" si="8"/>
        <x:v>54000</x:v>
      </x:c>
      <x:c r="M49" s="5">
        <x:f t="shared" si="7"/>
        <x:v>594000</x:v>
      </x:c>
      <x:c r="N49" s="6"/>
    </x:row>
    <x:row r="50" spans="1:14" ht="20.100000000000001" customHeight="1">
      <x:c r="A50" s="299"/>
      <x:c r="B50" s="3" t="s">
        <x:v>1705</x:v>
      </x:c>
      <x:c r="C50" s="3"/>
      <x:c r="D50" s="4"/>
      <x:c r="E50" s="4">
        <x:f t="shared" si="9"/>
        <x:v>0</x:v>
      </x:c>
      <x:c r="F50" s="5">
        <x:f t="shared" si="6"/>
        <x:v>0</x:v>
      </x:c>
      <x:c r="G50" s="6"/>
      <x:c r="H50" s="299"/>
      <x:c r="I50" s="3" t="s">
        <x:v>846</x:v>
      </x:c>
      <x:c r="J50" s="3" t="s">
        <x:v>757</x:v>
      </x:c>
      <x:c r="K50" s="4">
        <x:v>572000</x:v>
      </x:c>
      <x:c r="L50" s="4">
        <x:f t="shared" si="8"/>
        <x:v>57200</x:v>
      </x:c>
      <x:c r="M50" s="5">
        <x:f t="shared" si="7"/>
        <x:v>629200</x:v>
      </x:c>
      <x:c r="N50" s="6"/>
    </x:row>
    <x:row r="51" spans="1:14" ht="20.100000000000001" customHeight="1">
      <x:c r="A51" s="299"/>
      <x:c r="B51" s="3" t="s">
        <x:v>1119</x:v>
      </x:c>
      <x:c r="C51" s="3" t="s">
        <x:v>717</x:v>
      </x:c>
      <x:c r="D51" s="4">
        <x:v>28000</x:v>
      </x:c>
      <x:c r="E51" s="4">
        <x:f t="shared" si="9"/>
        <x:v>2800</x:v>
      </x:c>
      <x:c r="F51" s="5">
        <x:f t="shared" si="6"/>
        <x:v>30800</x:v>
      </x:c>
      <x:c r="G51" s="6"/>
      <x:c r="H51" s="299"/>
      <x:c r="I51" s="3" t="s">
        <x:v>938</x:v>
      </x:c>
      <x:c r="J51" s="3"/>
      <x:c r="K51" s="4"/>
      <x:c r="L51" s="4">
        <x:f t="shared" si="8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 t="s">
        <x:v>1173</x:v>
      </x:c>
      <x:c r="C52" s="3" t="s">
        <x:v>1206</x:v>
      </x:c>
      <x:c r="D52" s="4">
        <x:v>12200000</x:v>
      </x:c>
      <x:c r="E52" s="4">
        <x:f t="shared" si="9"/>
        <x:v>1220000</x:v>
      </x:c>
      <x:c r="F52" s="5">
        <x:f t="shared" si="6"/>
        <x:v>13420000</x:v>
      </x:c>
      <x:c r="G52" s="6"/>
      <x:c r="H52" s="299"/>
      <x:c r="I52" s="3" t="s">
        <x:v>1705</x:v>
      </x:c>
      <x:c r="J52" s="3" t="s">
        <x:v>1167</x:v>
      </x:c>
      <x:c r="K52" s="4">
        <x:v>374000</x:v>
      </x:c>
      <x:c r="L52" s="4">
        <x:f t="shared" si="8"/>
        <x:v>37400</x:v>
      </x:c>
      <x:c r="M52" s="5">
        <x:f t="shared" si="7"/>
        <x:v>411400</x:v>
      </x:c>
      <x:c r="N52" s="6"/>
    </x:row>
    <x:row r="53" spans="1:14" ht="20.100000000000001" customHeight="1">
      <x:c r="A53" s="299"/>
      <x:c r="B53" s="3" t="s">
        <x:v>846</x:v>
      </x:c>
      <x:c r="C53" s="3" t="s">
        <x:v>755</x:v>
      </x:c>
      <x:c r="D53" s="4">
        <x:v>2435450</x:v>
      </x:c>
      <x:c r="E53" s="4">
        <x:f>+INT(D53*0.1)</x:f>
        <x:v>243545</x:v>
      </x:c>
      <x:c r="F53" s="5">
        <x:f>+D53+E53</x:f>
        <x:v>2678995</x:v>
      </x:c>
      <x:c r="G53" s="6"/>
      <x:c r="H53" s="299"/>
      <x:c r="I53" s="3" t="s">
        <x:v>1119</x:v>
      </x:c>
      <x:c r="J53" s="3" t="s">
        <x:v>717</x:v>
      </x:c>
      <x:c r="K53" s="4">
        <x:v>217750</x:v>
      </x:c>
      <x:c r="L53" s="4">
        <x:f t="shared" si="8"/>
        <x:v>21775</x:v>
      </x:c>
      <x:c r="M53" s="5">
        <x:f t="shared" si="7"/>
        <x:v>239525</x:v>
      </x:c>
      <x:c r="N53" s="6"/>
    </x:row>
    <x:row r="54" spans="1:14" ht="20.100000000000001" customHeight="1">
      <x:c r="A54" s="299"/>
      <x:c r="B54" s="3" t="s">
        <x:v>1182</x:v>
      </x:c>
      <x:c r="C54" s="3"/>
      <x:c r="D54" s="4"/>
      <x:c r="E54" s="4">
        <x:f>+INT(D54*0.1)</x:f>
        <x:v>0</x:v>
      </x:c>
      <x:c r="F54" s="5">
        <x:f>+D54+E54</x:f>
        <x:v>0</x:v>
      </x:c>
      <x:c r="G54" s="6"/>
      <x:c r="H54" s="299"/>
      <x:c r="I54" s="3" t="s">
        <x:v>854</x:v>
      </x:c>
      <x:c r="J54" s="3" t="s">
        <x:v>382</x:v>
      </x:c>
      <x:c r="K54" s="4">
        <x:v>14349200</x:v>
      </x:c>
      <x:c r="L54" s="4">
        <x:f t="shared" si="8"/>
        <x:v>1434920</x:v>
      </x:c>
      <x:c r="M54" s="5">
        <x:f t="shared" si="7"/>
        <x:v>15784120</x:v>
      </x:c>
      <x:c r="N54" s="6"/>
    </x:row>
    <x:row r="55" spans="1:14" ht="20.100000000000001" customHeight="1">
      <x:c r="A55" s="299"/>
      <x:c r="B55" s="3" t="s">
        <x:v>1201</x:v>
      </x:c>
      <x:c r="C55" s="3" t="s">
        <x:v>244</x:v>
      </x:c>
      <x:c r="D55" s="4">
        <x:v>66611450</x:v>
      </x:c>
      <x:c r="E55" s="4">
        <x:f>+INT(D55*0.1)</x:f>
        <x:v>6661145</x:v>
      </x:c>
      <x:c r="F55" s="5">
        <x:f>+D55+E55</x:f>
        <x:v>73272595</x:v>
      </x:c>
      <x:c r="G55" s="6" t="s">
        <x:v>1225</x:v>
      </x:c>
      <x:c r="H55" s="299"/>
      <x:c r="I55" s="3" t="s">
        <x:v>1182</x:v>
      </x:c>
      <x:c r="J55" s="3"/>
      <x:c r="K55" s="4"/>
      <x:c r="L55" s="4">
        <x:f t="shared" si="8"/>
        <x:v>0</x:v>
      </x:c>
      <x:c r="M55" s="5">
        <x:f t="shared" si="7"/>
        <x:v>0</x:v>
      </x:c>
      <x:c r="N55" s="6"/>
    </x:row>
    <x:row r="56" spans="1:14" ht="20.100000000000001" customHeight="1">
      <x:c r="A56" s="299"/>
      <x:c r="B56" s="122" t="s">
        <x:v>1201</x:v>
      </x:c>
      <x:c r="C56" s="122" t="s">
        <x:v>1219</x:v>
      </x:c>
      <x:c r="D56" s="123">
        <x:v>84500000</x:v>
      </x:c>
      <x:c r="E56" s="123">
        <x:f>+INT(D56*0.1)</x:f>
        <x:v>8450000</x:v>
      </x:c>
      <x:c r="F56" s="124">
        <x:f>+D56+E56</x:f>
        <x:v>92950000</x:v>
      </x:c>
      <x:c r="G56" s="125" t="s">
        <x:v>1225</x:v>
      </x:c>
      <x:c r="H56" s="299"/>
      <x:c r="I56" s="3" t="s">
        <x:v>1201</x:v>
      </x:c>
      <x:c r="J56" s="3"/>
      <x:c r="K56" s="4"/>
      <x:c r="L56" s="4">
        <x:f t="shared" si="8"/>
        <x:v>0</x:v>
      </x:c>
      <x:c r="M56" s="5">
        <x:f t="shared" si="7"/>
        <x:v>0</x:v>
      </x:c>
      <x:c r="N56" s="6"/>
    </x:row>
    <x:row r="57" spans="1:14" ht="20.100000000000001" customHeight="1">
      <x:c r="A57" s="299"/>
      <x:c r="B57" s="122" t="s">
        <x:v>1202</x:v>
      </x:c>
      <x:c r="C57" s="122" t="s">
        <x:v>242</x:v>
      </x:c>
      <x:c r="D57" s="123">
        <x:v>33930000</x:v>
      </x:c>
      <x:c r="E57" s="123">
        <x:f>+INT(D57*0.1)</x:f>
        <x:v>3393000</x:v>
      </x:c>
      <x:c r="F57" s="124">
        <x:f>+D57+E57</x:f>
        <x:v>37323000</x:v>
      </x:c>
      <x:c r="G57" s="125" t="s">
        <x:v>1225</x:v>
      </x:c>
      <x:c r="H57" s="299"/>
      <x:c r="I57" s="3"/>
      <x:c r="J57" s="3"/>
      <x:c r="K57" s="4"/>
      <x:c r="L57" s="4">
        <x:f t="shared" si="8"/>
        <x:v>0</x:v>
      </x:c>
      <x:c r="M57" s="5">
        <x:f t="shared" si="7"/>
        <x:v>0</x:v>
      </x:c>
      <x:c r="N57" s="6"/>
    </x:row>
    <x:row r="58" spans="1:14" ht="20.100000000000001" customHeight="1">
      <x:c r="A58" s="300"/>
      <x:c r="B58" s="3"/>
      <x:c r="C58" s="3"/>
      <x:c r="D58" s="4"/>
      <x:c r="E58" s="4">
        <x:f t="shared" si="9"/>
        <x:v>0</x:v>
      </x:c>
      <x:c r="F58" s="5">
        <x:f t="shared" si="6"/>
        <x:v>0</x:v>
      </x:c>
      <x:c r="G58" s="6"/>
      <x:c r="H58" s="300"/>
      <x:c r="I58" s="3"/>
      <x:c r="J58" s="3"/>
      <x:c r="K58" s="4"/>
      <x:c r="L58" s="4"/>
      <x:c r="M58" s="5"/>
      <x:c r="N58" s="6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313137943</x:v>
      </x:c>
      <x:c r="E59" s="9">
        <x:f>SUM(E44:E58)</x:f>
        <x:v>31313794.300000001</x:v>
      </x:c>
      <x:c r="F59" s="10">
        <x:f>SUM(F44:F58)</x:f>
        <x:v>344451737.30000001</x:v>
      </x:c>
      <x:c r="G59" s="11"/>
      <x:c r="H59" s="7" t="s">
        <x:v>155</x:v>
      </x:c>
      <x:c r="I59" s="8"/>
      <x:c r="J59" s="8"/>
      <x:c r="K59" s="9">
        <x:f>SUM(K44:K58)</x:f>
        <x:v>30976642</x:v>
      </x:c>
      <x:c r="L59" s="9">
        <x:f>SUM(L44:L58)</x:f>
        <x:v>3097664.2000000002</x:v>
      </x:c>
      <x:c r="M59" s="10">
        <x:f>SUM(M44:M58)</x:f>
        <x:v>34074306.200000003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48010000</x:v>
      </x:c>
      <x:c r="E60" s="44"/>
      <x:c r="F60" s="45">
        <x:f>+D60+E60</x:f>
        <x:v>48010000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42075000</x:v>
      </x:c>
      <x:c r="L60" s="44"/>
      <x:c r="M60" s="45">
        <x:f>+K60+L60</x:f>
        <x:v>42075000</x:v>
      </x:c>
      <x:c r="N60" s="37"/>
    </x:row>
    <x:row r="61" spans="1:14" ht="20.100000000000001" customHeight="1">
      <x:c r="A61" s="299"/>
      <x:c r="B61" s="3" t="s">
        <x:v>1180</x:v>
      </x:c>
      <x:c r="C61" s="3" t="s">
        <x:v>1192</x:v>
      </x:c>
      <x:c r="D61" s="4">
        <x:v>6600000</x:v>
      </x:c>
      <x:c r="E61" s="4">
        <x:f>+D61*0.1</x:f>
        <x:v>660000</x:v>
      </x:c>
      <x:c r="F61" s="5">
        <x:f>+D61+E61</x:f>
        <x:v>7260000</x:v>
      </x:c>
      <x:c r="G61" s="37"/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54610000</x:v>
      </x:c>
      <x:c r="E64" s="9">
        <x:f>SUM(E60:E63)</x:f>
        <x:v>660000</x:v>
      </x:c>
      <x:c r="F64" s="10">
        <x:f>SUM(F60:F63)</x:f>
        <x:v>55270000</x:v>
      </x:c>
      <x:c r="G64" s="11"/>
      <x:c r="H64" s="7" t="s">
        <x:v>155</x:v>
      </x:c>
      <x:c r="I64" s="8"/>
      <x:c r="J64" s="8"/>
      <x:c r="K64" s="9">
        <x:f>SUM(K60:K63)</x:f>
        <x:v>42075000</x:v>
      </x:c>
      <x:c r="L64" s="9">
        <x:f>SUM(L60:L63)</x:f>
        <x:v>0</x:v>
      </x:c>
      <x:c r="M64" s="10">
        <x:f>SUM(M60:M63)</x:f>
        <x:v>42075000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1401440</x:v>
      </x:c>
      <x:c r="E70" s="4"/>
      <x:c r="F70" s="5">
        <x:f t="shared" ref="F70:F79" si="10">+D70+E70</x:f>
        <x:v>1401440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1299150</x:v>
      </x:c>
      <x:c r="L70" s="4"/>
      <x:c r="M70" s="5">
        <x:f>+K70+L70</x:f>
        <x:v>1299150</x:v>
      </x:c>
      <x:c r="N70" s="6"/>
    </x:row>
    <x:row r="71" spans="1:14" ht="20.100000000000001" customHeight="1">
      <x:c r="A71" s="299"/>
      <x:c r="B71" s="3" t="s">
        <x:v>721</x:v>
      </x:c>
      <x:c r="C71" s="3" t="s">
        <x:v>167</x:v>
      </x:c>
      <x:c r="D71" s="4"/>
      <x:c r="E71" s="4">
        <x:f>+D71*0.1</x:f>
        <x:v>0</x:v>
      </x:c>
      <x:c r="F71" s="5">
        <x:f t="shared" si="10"/>
        <x:v>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D72*0.1</x:f>
        <x:v>10000</x:v>
      </x:c>
      <x:c r="F72" s="5">
        <x:f t="shared" si="10"/>
        <x:v>110000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2032500</x:v>
      </x:c>
      <x:c r="E73" s="4">
        <x:f>D73*0.1</x:f>
        <x:v>203250</x:v>
      </x:c>
      <x:c r="F73" s="5">
        <x:f t="shared" si="10"/>
        <x:v>2235750</x:v>
      </x:c>
      <x:c r="G73" s="6"/>
      <x:c r="H73" s="299"/>
      <x:c r="I73" s="3" t="s">
        <x:v>1061</x:v>
      </x:c>
      <x:c r="J73" s="3" t="s">
        <x:v>167</x:v>
      </x:c>
      <x:c r="K73" s="4">
        <x:v>310000</x:v>
      </x:c>
      <x:c r="L73" s="4">
        <x:f>+K73*0.1</x:f>
        <x:v>31000</x:v>
      </x:c>
      <x:c r="M73" s="5">
        <x:f>+K73+L73</x:f>
        <x:v>341000</x:v>
      </x:c>
      <x:c r="N73" s="6"/>
    </x:row>
    <x:row r="74" spans="1:14" ht="20.100000000000001" customHeight="1">
      <x:c r="A74" s="299"/>
      <x:c r="B74" s="3" t="s">
        <x:v>926</x:v>
      </x:c>
      <x:c r="C74" s="3" t="s">
        <x:v>927</x:v>
      </x:c>
      <x:c r="D74" s="4">
        <x:v>367870</x:v>
      </x:c>
      <x:c r="E74" s="4"/>
      <x:c r="F74" s="5">
        <x:f t="shared" si="10"/>
        <x:v>367870</x:v>
      </x:c>
      <x:c r="G74" s="6"/>
      <x:c r="H74" s="299"/>
      <x:c r="I74" s="3" t="s">
        <x:v>1047</x:v>
      </x:c>
      <x:c r="J74" s="3" t="s">
        <x:v>962</x:v>
      </x:c>
      <x:c r="K74" s="4">
        <x:v>1566000</x:v>
      </x:c>
      <x:c r="L74" s="4">
        <x:f>+K74*0.1</x:f>
        <x:v>156600</x:v>
      </x:c>
      <x:c r="M74" s="5">
        <x:f t="shared" ref="M74:M79" si="11">+K74+L74</x:f>
        <x:v>1722600</x:v>
      </x:c>
      <x:c r="N74" s="6"/>
    </x:row>
    <x:row r="75" spans="1:14" ht="20.100000000000001" customHeight="1">
      <x:c r="A75" s="299"/>
      <x:c r="B75" s="3" t="s">
        <x:v>1181</x:v>
      </x:c>
      <x:c r="C75" s="3" t="s">
        <x:v>817</x:v>
      </x:c>
      <x:c r="D75" s="4"/>
      <x:c r="E75" s="4">
        <x:f>D75*0.1</x:f>
        <x:v>0</x:v>
      </x:c>
      <x:c r="F75" s="5">
        <x:f t="shared" si="10"/>
        <x:v>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1"/>
        <x:v>110000</x:v>
      </x:c>
      <x:c r="N75" s="6"/>
    </x:row>
    <x:row r="76" spans="1:14" ht="20.100000000000001" customHeight="1">
      <x:c r="A76" s="299"/>
      <x:c r="B76" s="3"/>
      <x:c r="C76" s="3"/>
      <x:c r="D76" s="4"/>
      <x:c r="E76" s="4"/>
      <x:c r="F76" s="5">
        <x:f t="shared" si="10"/>
        <x:v>0</x:v>
      </x:c>
      <x:c r="G76" s="6"/>
      <x:c r="H76" s="299"/>
      <x:c r="I76" s="3"/>
      <x:c r="J76" s="3"/>
      <x:c r="K76" s="4"/>
      <x:c r="L76" s="4">
        <x:f>+K76*0.1</x:f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0"/>
        <x:v>0</x:v>
      </x:c>
      <x:c r="G77" s="6"/>
      <x:c r="H77" s="299"/>
      <x:c r="I77" s="3"/>
      <x:c r="J77" s="3"/>
      <x:c r="K77" s="4"/>
      <x:c r="L77" s="4"/>
      <x:c r="M77" s="5">
        <x:f t="shared" si="11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0"/>
        <x:v>0</x:v>
      </x:c>
      <x:c r="G78" s="6"/>
      <x:c r="H78" s="299"/>
      <x:c r="I78" s="3"/>
      <x:c r="J78" s="3"/>
      <x:c r="K78" s="4"/>
      <x:c r="L78" s="4"/>
      <x:c r="M78" s="5">
        <x:f t="shared" si="11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0"/>
        <x:v>0</x:v>
      </x:c>
      <x:c r="G79" s="6"/>
      <x:c r="H79" s="300"/>
      <x:c r="I79" s="3"/>
      <x:c r="J79" s="3"/>
      <x:c r="K79" s="4"/>
      <x:c r="L79" s="4"/>
      <x:c r="M79" s="5">
        <x:f t="shared" si="11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3901810</x:v>
      </x:c>
      <x:c r="E80" s="9">
        <x:f>SUM(E70:E79)</x:f>
        <x:v>213250</x:v>
      </x:c>
      <x:c r="F80" s="10">
        <x:f>SUM(F70:F79)</x:f>
        <x:v>4115060</x:v>
      </x:c>
      <x:c r="G80" s="11"/>
      <x:c r="H80" s="7" t="s">
        <x:v>155</x:v>
      </x:c>
      <x:c r="I80" s="8"/>
      <x:c r="J80" s="8"/>
      <x:c r="K80" s="9">
        <x:f>SUM(K70:K79)</x:f>
        <x:v>3823150</x:v>
      </x:c>
      <x:c r="L80" s="9">
        <x:f>SUM(L70:L79)</x:f>
        <x:v>247600</x:v>
      </x:c>
      <x:c r="M80" s="10">
        <x:f>SUM(M70:M79)</x:f>
        <x:v>4070750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371949753</x:v>
      </x:c>
      <x:c r="E81" s="14">
        <x:f>+E59+E64+E69+E80</x:f>
        <x:v>32217044.300000001</x:v>
      </x:c>
      <x:c r="F81" s="15">
        <x:f>+F59+F64+F69+F80</x:f>
        <x:v>404166797.30000001</x:v>
      </x:c>
      <x:c r="G81" s="16"/>
      <x:c r="H81" s="12"/>
      <x:c r="I81" s="13"/>
      <x:c r="J81" s="13"/>
      <x:c r="K81" s="14">
        <x:f>+K59+K64+K69+K80</x:f>
        <x:v>76874792</x:v>
      </x:c>
      <x:c r="L81" s="14">
        <x:f>+L59+L64+L69+L80</x:f>
        <x:v>3345264.2000000002</x:v>
      </x:c>
      <x:c r="M81" s="15">
        <x:f>+M59+M64+M69+M80</x:f>
        <x:v>80220056.200000003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256485291</x:v>
      </x:c>
      <x:c r="E82" s="25">
        <x:f>+E43-E81</x:f>
        <x:v>18567311.699999999</x:v>
      </x:c>
      <x:c r="F82" s="26">
        <x:f>+F43-F81</x:f>
        <x:v>275052602.69999999</x:v>
      </x:c>
      <x:c r="G82" s="27"/>
      <x:c r="H82" s="23"/>
      <x:c r="I82" s="24"/>
      <x:c r="J82" s="24"/>
      <x:c r="K82" s="25">
        <x:f>+K43-K81</x:f>
        <x:v>61652524</x:v>
      </x:c>
      <x:c r="L82" s="25">
        <x:f>+L43-L81</x:f>
        <x:v>-1872580.2000000002</x:v>
      </x:c>
      <x:c r="M82" s="26">
        <x:f>+M43-M81</x:f>
        <x:v>59779943.799999997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18" t="s">
        <x:v>144</x:v>
      </x:c>
      <x:c r="C84" s="118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18" t="s">
        <x:v>144</x:v>
      </x:c>
      <x:c r="J84" s="118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148698296</x:v>
      </x:c>
      <x:c r="E85" s="39">
        <x:v>1301704</x:v>
      </x:c>
      <x:c r="F85" s="40">
        <x:f>+D85+E85</x:f>
        <x:v>150000000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/>
      <x:c r="D86" s="20"/>
      <x:c r="E86" s="20">
        <x:f>+D86*0.1</x:f>
        <x:v>0</x:v>
      </x:c>
      <x:c r="F86" s="21">
        <x:f t="shared" ref="F86:F91" si="12">+D86+E86</x:f>
        <x:v>0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3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369</x:v>
      </x:c>
      <x:c r="D87" s="4">
        <x:v>8104400</x:v>
      </x:c>
      <x:c r="E87" s="4">
        <x:f>D87*0.1</x:f>
        <x:v>810440</x:v>
      </x:c>
      <x:c r="F87" s="5">
        <x:f t="shared" si="12"/>
        <x:v>8914840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3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371</x:v>
      </x:c>
      <x:c r="D88" s="4">
        <x:v>648920</x:v>
      </x:c>
      <x:c r="E88" s="4">
        <x:f t="shared" ref="E88:E93" si="14">+D88*0.1</x:f>
        <x:v>64892</x:v>
      </x:c>
      <x:c r="F88" s="5">
        <x:f t="shared" si="12"/>
        <x:v>713812</x:v>
      </x:c>
      <x:c r="G88" s="6"/>
      <x:c r="H88" s="299"/>
      <x:c r="I88" s="3"/>
      <x:c r="J88" s="3"/>
      <x:c r="K88" s="4"/>
      <x:c r="L88" s="4">
        <x:f t="shared" ref="L88:L100" si="15">+K88*0.1</x:f>
        <x:v>0</x:v>
      </x:c>
      <x:c r="M88" s="5">
        <x:f t="shared" si="13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387</x:v>
      </x:c>
      <x:c r="D89" s="4">
        <x:v>2089300</x:v>
      </x:c>
      <x:c r="E89" s="4">
        <x:f t="shared" si="14"/>
        <x:v>208930</x:v>
      </x:c>
      <x:c r="F89" s="5">
        <x:f t="shared" si="12"/>
        <x:v>2298230</x:v>
      </x:c>
      <x:c r="G89" s="6"/>
      <x:c r="H89" s="299"/>
      <x:c r="I89" s="3"/>
      <x:c r="J89" s="3"/>
      <x:c r="K89" s="4"/>
      <x:c r="L89" s="4">
        <x:f t="shared" si="15"/>
        <x:v>0</x:v>
      </x:c>
      <x:c r="M89" s="5">
        <x:f t="shared" si="13"/>
        <x:v>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si="14"/>
        <x:v>0</x:v>
      </x:c>
      <x:c r="F90" s="5">
        <x:f t="shared" si="12"/>
        <x:v>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3"/>
        <x:v>0</x:v>
      </x:c>
      <x:c r="N90" s="6"/>
    </x:row>
    <x:row r="91" spans="1:14" ht="20.100000000000001" customHeight="1">
      <x:c r="A91" s="299"/>
      <x:c r="B91" s="3" t="s">
        <x:v>967</x:v>
      </x:c>
      <x:c r="C91" s="3" t="s">
        <x:v>1206</x:v>
      </x:c>
      <x:c r="D91" s="4">
        <x:v>7990000</x:v>
      </x:c>
      <x:c r="E91" s="4">
        <x:f t="shared" si="14"/>
        <x:v>799000</x:v>
      </x:c>
      <x:c r="F91" s="5">
        <x:f t="shared" si="12"/>
        <x:v>8789000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3"/>
        <x:v>0</x:v>
      </x:c>
      <x:c r="N91" s="6"/>
    </x:row>
    <x:row r="92" spans="1:14" ht="20.100000000000001" customHeight="1">
      <x:c r="A92" s="299"/>
      <x:c r="B92" s="3" t="s">
        <x:v>1705</x:v>
      </x:c>
      <x:c r="C92" s="3"/>
      <x:c r="D92" s="4"/>
      <x:c r="E92" s="4">
        <x:f t="shared" si="14"/>
        <x:v>0</x:v>
      </x:c>
      <x:c r="F92" s="5">
        <x:f>+D92+E92</x:f>
        <x:v>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/>
      <x:c r="D93" s="4"/>
      <x:c r="E93" s="4">
        <x:f t="shared" si="14"/>
        <x:v>0</x:v>
      </x:c>
      <x:c r="F93" s="5">
        <x:f>+D93+E93</x:f>
        <x:v>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854</x:v>
      </x:c>
      <x:c r="C94" s="3" t="s">
        <x:v>760</x:v>
      </x:c>
      <x:c r="D94" s="4">
        <x:v>12935920</x:v>
      </x:c>
      <x:c r="E94" s="4">
        <x:f t="shared" ref="E94:E100" si="16">+D94*0.1</x:f>
        <x:v>1293592</x:v>
      </x:c>
      <x:c r="F94" s="5">
        <x:f t="shared" ref="F94:F100" si="17">+D94+E94</x:f>
        <x:v>14229512</x:v>
      </x:c>
      <x:c r="G94" s="6"/>
      <x:c r="H94" s="299"/>
      <x:c r="I94" s="3"/>
      <x:c r="J94" s="3"/>
      <x:c r="K94" s="4"/>
      <x:c r="L94" s="4">
        <x:f t="shared" si="15"/>
        <x:v>0</x:v>
      </x:c>
      <x:c r="M94" s="5">
        <x:f t="shared" si="13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1137</x:v>
      </x:c>
      <x:c r="D95" s="4">
        <x:v>2912430</x:v>
      </x:c>
      <x:c r="E95" s="4">
        <x:f t="shared" si="16"/>
        <x:v>291243</x:v>
      </x:c>
      <x:c r="F95" s="5">
        <x:f t="shared" si="17"/>
        <x:v>3203673</x:v>
      </x:c>
      <x:c r="G95" s="6"/>
      <x:c r="H95" s="299"/>
      <x:c r="I95" s="3"/>
      <x:c r="J95" s="3"/>
      <x:c r="K95" s="4"/>
      <x:c r="L95" s="4">
        <x:f t="shared" si="15"/>
        <x:v>0</x:v>
      </x:c>
      <x:c r="M95" s="5">
        <x:f t="shared" si="13"/>
        <x:v>0</x:v>
      </x:c>
      <x:c r="N95" s="6"/>
    </x:row>
    <x:row r="96" spans="1:14" ht="20.100000000000001" customHeight="1">
      <x:c r="A96" s="299"/>
      <x:c r="B96" s="3" t="s">
        <x:v>1201</x:v>
      </x:c>
      <x:c r="C96" s="3"/>
      <x:c r="D96" s="4"/>
      <x:c r="E96" s="4">
        <x:f>+INT(D96*0.1)</x:f>
        <x:v>0</x:v>
      </x:c>
      <x:c r="F96" s="5">
        <x:f t="shared" si="17"/>
        <x:v>0</x:v>
      </x:c>
      <x:c r="G96" s="6"/>
      <x:c r="H96" s="299"/>
      <x:c r="I96" s="3"/>
      <x:c r="J96" s="3"/>
      <x:c r="K96" s="4"/>
      <x:c r="L96" s="4">
        <x:f t="shared" si="15"/>
        <x:v>0</x:v>
      </x:c>
      <x:c r="M96" s="5">
        <x:f t="shared" si="13"/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>
        <x:f>+INT(D97*0.1)</x:f>
        <x:v>0</x:v>
      </x:c>
      <x:c r="F97" s="5">
        <x:f t="shared" si="17"/>
        <x:v>0</x:v>
      </x:c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3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>+INT(D98*0.1)</x:f>
        <x:v>0</x:v>
      </x:c>
      <x:c r="F98" s="5">
        <x:f t="shared" si="17"/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3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6"/>
        <x:v>0</x:v>
      </x:c>
      <x:c r="F99" s="5">
        <x:f t="shared" si="17"/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3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6"/>
        <x:v>0</x:v>
      </x:c>
      <x:c r="F100" s="5">
        <x:f t="shared" si="17"/>
        <x:v>0</x:v>
      </x:c>
      <x:c r="G100" s="6"/>
      <x:c r="H100" s="300"/>
      <x:c r="I100" s="3"/>
      <x:c r="J100" s="3"/>
      <x:c r="K100" s="4"/>
      <x:c r="L100" s="4">
        <x:f t="shared" si="15"/>
        <x:v>0</x:v>
      </x:c>
      <x:c r="M100" s="5">
        <x:f t="shared" si="13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34680970</x:v>
      </x:c>
      <x:c r="E101" s="9">
        <x:f>SUM(E86:E100)</x:f>
        <x:v>3468097</x:v>
      </x:c>
      <x:c r="F101" s="10">
        <x:f>SUM(F86:F100)</x:f>
        <x:v>38149067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26580000</x:v>
      </x:c>
      <x:c r="E102" s="4"/>
      <x:c r="F102" s="5">
        <x:f>+D102+E102</x:f>
        <x:v>26580000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/>
      <x:c r="C103" s="3"/>
      <x:c r="D103" s="4"/>
      <x:c r="E103" s="4"/>
      <x:c r="F103" s="5">
        <x:f>+D103+E103</x:f>
        <x:v>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26580000</x:v>
      </x:c>
      <x:c r="E106" s="9">
        <x:f>SUM(E102:E105)</x:f>
        <x:v>0</x:v>
      </x:c>
      <x:c r="F106" s="10">
        <x:f>SUM(F102:F105)</x:f>
        <x:v>26580000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>
        <x:v>300000</x:v>
      </x:c>
      <x:c r="E107" s="4">
        <x:f>+D107*0.1</x:f>
        <x:v>30000</x:v>
      </x:c>
      <x:c r="F107" s="5">
        <x:f>+D107+E107</x:f>
        <x:v>330000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120000</x:v>
      </x:c>
      <x:c r="E108" s="4">
        <x:f>+D108*0.1</x:f>
        <x:v>12000</x:v>
      </x:c>
      <x:c r="F108" s="5">
        <x:f>+D108+E108</x:f>
        <x:v>132000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420000</x:v>
      </x:c>
      <x:c r="E111" s="9">
        <x:f>SUM(E107:E110)</x:f>
        <x:v>42000</x:v>
      </x:c>
      <x:c r="F111" s="10">
        <x:f>SUM(F107:F110)</x:f>
        <x:v>462000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281140</x:v>
      </x:c>
      <x:c r="E112" s="4"/>
      <x:c r="F112" s="5">
        <x:f t="shared" ref="F112:F117" si="18">+D112+E112</x:f>
        <x:v>281140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1774</x:v>
      </x:c>
      <x:c r="D113" s="4">
        <x:v>100000</x:v>
      </x:c>
      <x:c r="E113" s="4">
        <x:f>+D113*0.1</x:f>
        <x:v>10000</x:v>
      </x:c>
      <x:c r="F113" s="5">
        <x:f t="shared" si="18"/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 t="shared" si="18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1113000</x:v>
      </x:c>
      <x:c r="E115" s="4">
        <x:f>+D115*0.1</x:f>
        <x:v>111300</x:v>
      </x:c>
      <x:c r="F115" s="5">
        <x:f t="shared" si="18"/>
        <x:v>1224300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133000</x:v>
      </x:c>
      <x:c r="E116" s="4">
        <x:f>+D116*0.1</x:f>
        <x:v>13300</x:v>
      </x:c>
      <x:c r="F116" s="5">
        <x:f t="shared" si="18"/>
        <x:v>146300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/>
      <x:c r="C117" s="3"/>
      <x:c r="D117" s="4"/>
      <x:c r="E117" s="4">
        <x:f>+D117*0.1</x:f>
        <x:v>0</x:v>
      </x:c>
      <x:c r="F117" s="5">
        <x:f t="shared" si="18"/>
        <x:v>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1707140</x:v>
      </x:c>
      <x:c r="E122" s="9">
        <x:f>SUM(E112:E121)</x:f>
        <x:v>142600</x:v>
      </x:c>
      <x:c r="F122" s="10">
        <x:f>SUM(F112:F121)</x:f>
        <x:v>1849740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63388110</x:v>
      </x:c>
      <x:c r="E123" s="14">
        <x:f>+E101+E106+E111+E122</x:f>
        <x:v>3652697</x:v>
      </x:c>
      <x:c r="F123" s="15">
        <x:f>+F101+F106+F111+F122</x:f>
        <x:v>67040807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85310186</x:v>
      </x:c>
      <x:c r="E124" s="25">
        <x:f>+E85-E123</x:f>
        <x:v>-2350993</x:v>
      </x:c>
      <x:c r="F124" s="26">
        <x:f>+F85-F123</x:f>
        <x:v>82959193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18" t="s">
        <x:v>144</x:v>
      </x:c>
      <x:c r="C126" s="118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18" t="s">
        <x:v>144</x:v>
      </x:c>
      <x:c r="J126" s="118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17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9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9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0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9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0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9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0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9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0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9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0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1">+INT(D133*0.1)</x:f>
        <x:v>0</x:v>
      </x:c>
      <x:c r="F133" s="5">
        <x:f t="shared" si="19"/>
        <x:v>0</x:v>
      </x:c>
      <x:c r="G133" s="6"/>
      <x:c r="H133" s="299"/>
      <x:c r="I133" s="3"/>
      <x:c r="J133" s="3"/>
      <x:c r="K133" s="4"/>
      <x:c r="L133" s="4">
        <x:f t="shared" ref="L133:L142" si="22">+K133*0.1</x:f>
        <x:v>0</x:v>
      </x:c>
      <x:c r="M133" s="5">
        <x:f t="shared" si="20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1"/>
        <x:v>0</x:v>
      </x:c>
      <x:c r="F134" s="5">
        <x:f t="shared" si="19"/>
        <x:v>0</x:v>
      </x:c>
      <x:c r="G134" s="6"/>
      <x:c r="H134" s="299"/>
      <x:c r="I134" s="3"/>
      <x:c r="J134" s="3"/>
      <x:c r="K134" s="4"/>
      <x:c r="L134" s="4">
        <x:f t="shared" si="22"/>
        <x:v>0</x:v>
      </x:c>
      <x:c r="M134" s="5">
        <x:f t="shared" si="20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1"/>
        <x:v>0</x:v>
      </x:c>
      <x:c r="F135" s="5">
        <x:f t="shared" si="19"/>
        <x:v>0</x:v>
      </x:c>
      <x:c r="G135" s="6"/>
      <x:c r="H135" s="299"/>
      <x:c r="I135" s="3"/>
      <x:c r="J135" s="3"/>
      <x:c r="K135" s="4"/>
      <x:c r="L135" s="4">
        <x:f t="shared" si="22"/>
        <x:v>0</x:v>
      </x:c>
      <x:c r="M135" s="5">
        <x:f t="shared" si="20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1"/>
        <x:v>0</x:v>
      </x:c>
      <x:c r="F136" s="5">
        <x:f t="shared" si="19"/>
        <x:v>0</x:v>
      </x:c>
      <x:c r="G136" s="6"/>
      <x:c r="H136" s="299"/>
      <x:c r="I136" s="3"/>
      <x:c r="J136" s="3"/>
      <x:c r="K136" s="4"/>
      <x:c r="L136" s="4">
        <x:f t="shared" si="22"/>
        <x:v>0</x:v>
      </x:c>
      <x:c r="M136" s="5">
        <x:f t="shared" si="20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1"/>
        <x:v>0</x:v>
      </x:c>
      <x:c r="F137" s="5">
        <x:f t="shared" si="19"/>
        <x:v>0</x:v>
      </x:c>
      <x:c r="G137" s="6"/>
      <x:c r="H137" s="299"/>
      <x:c r="I137" s="3"/>
      <x:c r="J137" s="3"/>
      <x:c r="K137" s="4"/>
      <x:c r="L137" s="4">
        <x:f t="shared" si="22"/>
        <x:v>0</x:v>
      </x:c>
      <x:c r="M137" s="5">
        <x:f t="shared" si="20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1"/>
        <x:v>0</x:v>
      </x:c>
      <x:c r="F138" s="5">
        <x:f t="shared" si="19"/>
        <x:v>0</x:v>
      </x:c>
      <x:c r="G138" s="6"/>
      <x:c r="H138" s="299"/>
      <x:c r="I138" s="3"/>
      <x:c r="J138" s="3"/>
      <x:c r="K138" s="4"/>
      <x:c r="L138" s="4">
        <x:f t="shared" si="22"/>
        <x:v>0</x:v>
      </x:c>
      <x:c r="M138" s="5">
        <x:f t="shared" si="20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1"/>
        <x:v>0</x:v>
      </x:c>
      <x:c r="F139" s="5">
        <x:f t="shared" si="19"/>
        <x:v>0</x:v>
      </x:c>
      <x:c r="G139" s="6"/>
      <x:c r="H139" s="299"/>
      <x:c r="I139" s="3"/>
      <x:c r="J139" s="3"/>
      <x:c r="K139" s="4"/>
      <x:c r="L139" s="4">
        <x:f t="shared" si="22"/>
        <x:v>0</x:v>
      </x:c>
      <x:c r="M139" s="5">
        <x:f t="shared" si="20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1"/>
        <x:v>0</x:v>
      </x:c>
      <x:c r="F140" s="5">
        <x:f t="shared" si="19"/>
        <x:v>0</x:v>
      </x:c>
      <x:c r="G140" s="6"/>
      <x:c r="H140" s="299"/>
      <x:c r="I140" s="3"/>
      <x:c r="J140" s="3"/>
      <x:c r="K140" s="4"/>
      <x:c r="L140" s="4">
        <x:f t="shared" si="22"/>
        <x:v>0</x:v>
      </x:c>
      <x:c r="M140" s="5">
        <x:f t="shared" si="20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1"/>
        <x:v>0</x:v>
      </x:c>
      <x:c r="F141" s="5">
        <x:f t="shared" si="19"/>
        <x:v>0</x:v>
      </x:c>
      <x:c r="G141" s="6"/>
      <x:c r="H141" s="299"/>
      <x:c r="I141" s="3"/>
      <x:c r="J141" s="3"/>
      <x:c r="K141" s="4"/>
      <x:c r="L141" s="4">
        <x:f t="shared" si="22"/>
        <x:v>0</x:v>
      </x:c>
      <x:c r="M141" s="5">
        <x:f t="shared" si="20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2"/>
        <x:v>0</x:v>
      </x:c>
      <x:c r="M142" s="5">
        <x:f t="shared" si="20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3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3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3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4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3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4"/>
        <x:v>0</x:v>
      </x:c>
      <x:c r="G158" s="6"/>
      <x:c r="H158" s="299"/>
      <x:c r="I158" s="3"/>
      <x:c r="J158" s="3"/>
      <x:c r="K158" s="4"/>
      <x:c r="L158" s="4">
        <x:f t="shared" ref="L158:L163" si="25">+K158*0.1</x:f>
        <x:v>0</x:v>
      </x:c>
      <x:c r="M158" s="5">
        <x:f t="shared" si="23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4"/>
        <x:v>0</x:v>
      </x:c>
      <x:c r="G159" s="6"/>
      <x:c r="H159" s="299"/>
      <x:c r="I159" s="3"/>
      <x:c r="J159" s="3"/>
      <x:c r="K159" s="4"/>
      <x:c r="L159" s="4">
        <x:f t="shared" si="25"/>
        <x:v>0</x:v>
      </x:c>
      <x:c r="M159" s="5">
        <x:f t="shared" si="23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4"/>
        <x:v>0</x:v>
      </x:c>
      <x:c r="G160" s="6"/>
      <x:c r="H160" s="299"/>
      <x:c r="I160" s="3"/>
      <x:c r="J160" s="3"/>
      <x:c r="K160" s="4"/>
      <x:c r="L160" s="4">
        <x:f t="shared" si="25"/>
        <x:v>0</x:v>
      </x:c>
      <x:c r="M160" s="5">
        <x:f t="shared" si="23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4"/>
        <x:v>0</x:v>
      </x:c>
      <x:c r="G161" s="6"/>
      <x:c r="H161" s="299"/>
      <x:c r="I161" s="3"/>
      <x:c r="J161" s="3"/>
      <x:c r="K161" s="4"/>
      <x:c r="L161" s="4">
        <x:f t="shared" si="25"/>
        <x:v>0</x:v>
      </x:c>
      <x:c r="M161" s="5">
        <x:f t="shared" si="23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4"/>
        <x:v>0</x:v>
      </x:c>
      <x:c r="G162" s="6"/>
      <x:c r="H162" s="299"/>
      <x:c r="I162" s="3"/>
      <x:c r="J162" s="3"/>
      <x:c r="K162" s="4"/>
      <x:c r="L162" s="4">
        <x:f t="shared" si="25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4"/>
        <x:v>0</x:v>
      </x:c>
      <x:c r="G163" s="6"/>
      <x:c r="H163" s="300"/>
      <x:c r="I163" s="3"/>
      <x:c r="J163" s="3"/>
      <x:c r="K163" s="4"/>
      <x:c r="L163" s="4">
        <x:f t="shared" si="25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351304973</x:v>
      </x:c>
      <x:c r="E169" s="2">
        <x:f>+E17+E59+E101+E143</x:f>
        <x:v>35130496.299999997</x:v>
      </x:c>
      <x:c r="F169" s="2">
        <x:f>+F17+F59+F101+F143</x:f>
        <x:v>386435469.30000001</x:v>
      </x:c>
      <x:c r="K169" s="2">
        <x:f>+K17+K59+K101+K143</x:f>
        <x:v>63539337</x:v>
      </x:c>
      <x:c r="L169" s="2">
        <x:f>+L17+L59+L101+L143</x:f>
        <x:v>6353932.7000000002</x:v>
      </x:c>
      <x:c r="M169" s="2">
        <x:f>+M17+M59+M101+M143</x:f>
        <x:v>69893269.700000003</x:v>
      </x:c>
    </x:row>
    <x:row r="170" spans="1:13">
      <x:c r="A170" s="1" t="s">
        <x:v>153</x:v>
      </x:c>
      <x:c r="D170" s="2">
        <x:f>+D22+D64+D106+D148</x:f>
        <x:v>109365000</x:v>
      </x:c>
      <x:c r="E170" s="2">
        <x:f>+E22+E64+E106+E148</x:f>
        <x:v>660000</x:v>
      </x:c>
      <x:c r="F170" s="2">
        <x:f>+F22+F64+F106+F148</x:f>
        <x:v>110025000</x:v>
      </x:c>
      <x:c r="K170" s="2">
        <x:f>+K22+K64+K106+K148</x:f>
        <x:v>80979800</x:v>
      </x:c>
      <x:c r="L170" s="2">
        <x:f>+L22+L64+L106+L148</x:f>
        <x:v>700480</x:v>
      </x:c>
      <x:c r="M170" s="2">
        <x:f>+M22+M64+M106+M148</x:f>
        <x:v>81680280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720000</x:v>
      </x:c>
      <x:c r="E171" s="2">
        <x:f>+E27+E69+E111+E153</x:f>
        <x:v>72000</x:v>
      </x:c>
      <x:c r="F171" s="2">
        <x:f>+F27+F69+F111+F153</x:f>
        <x:v>792000</x:v>
      </x:c>
      <x:c r="H171" s="1"/>
      <x:c r="I171" s="1"/>
      <x:c r="J171" s="1"/>
      <x:c r="K171" s="2">
        <x:f>+K27+K69+K111+K153</x:f>
        <x:v>700000</x:v>
      </x:c>
      <x:c r="L171" s="2">
        <x:f>+L27+L69+L111+L153</x:f>
        <x:v>70000</x:v>
      </x:c>
      <x:c r="M171" s="2">
        <x:f>+M27+M69+M111+M153</x:f>
        <x:v>770000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10526911</x:v>
      </x:c>
      <x:c r="E172" s="2">
        <x:f>+E38+E80+E122+E164</x:f>
        <x:v>627758.5</x:v>
      </x:c>
      <x:c r="F172" s="2">
        <x:f>+F38+F80+F122+F164</x:f>
        <x:v>11154669.5</x:v>
      </x:c>
      <x:c r="H172" s="1"/>
      <x:c r="I172" s="1"/>
      <x:c r="J172" s="1"/>
      <x:c r="K172" s="2">
        <x:f>+K38+K80+K122+K164</x:f>
        <x:v>6144871</x:v>
      </x:c>
      <x:c r="L172" s="2">
        <x:f>+L38+L80+L122+L164</x:f>
        <x:v>393919.09999999998</x:v>
      </x:c>
      <x:c r="M172" s="2">
        <x:f>+M38+M80+M122+M164</x:f>
        <x:v>6538790.0999999996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471916884</x:v>
      </x:c>
      <x:c r="E173" s="2">
        <x:f>SUM(E169:E172)</x:f>
        <x:v>36490254.799999997</x:v>
      </x:c>
      <x:c r="F173" s="2">
        <x:f>SUM(F169:F172)</x:f>
        <x:v>508407138.80000001</x:v>
      </x:c>
      <x:c r="H173" s="1"/>
      <x:c r="I173" s="1"/>
      <x:c r="J173" s="1"/>
      <x:c r="K173" s="2">
        <x:f>SUM(K169:K172)</x:f>
        <x:v>151364008</x:v>
      </x:c>
      <x:c r="L173" s="2">
        <x:f>SUM(L169:L172)</x:f>
        <x:v>7518331.7999999998</x:v>
      </x:c>
      <x:c r="M173" s="2">
        <x:f>SUM(M169:M172)</x:f>
        <x:v>158882339.79999998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414844310</x:v>
      </x:c>
      <x:c r="E176" s="2">
        <x:f>+E169+L169</x:f>
        <x:v>41484429</x:v>
      </x:c>
      <x:c r="F176" s="2">
        <x:f>+F169+M169</x:f>
        <x:v>456328739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6">+D170+K170</x:f>
        <x:v>190344800</x:v>
      </x:c>
      <x:c r="E177" s="2">
        <x:f t="shared" si="26"/>
        <x:v>1360480</x:v>
      </x:c>
      <x:c r="F177" s="2">
        <x:f t="shared" si="26"/>
        <x:v>191705280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6"/>
        <x:v>1420000</x:v>
      </x:c>
      <x:c r="E178" s="2">
        <x:f t="shared" si="26"/>
        <x:v>142000</x:v>
      </x:c>
      <x:c r="F178" s="2">
        <x:f t="shared" si="26"/>
        <x:v>1562000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6"/>
        <x:v>16671782</x:v>
      </x:c>
      <x:c r="E179" s="2">
        <x:f t="shared" si="26"/>
        <x:v>1021677.6</x:v>
      </x:c>
      <x:c r="F179" s="2">
        <x:f t="shared" si="26"/>
        <x:v>17693459.600000001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623280892</x:v>
      </x:c>
      <x:c r="E180" s="2">
        <x:f>SUM(E176:E179)</x:f>
        <x:v>44008586.600000001</x:v>
      </x:c>
      <x:c r="F180" s="2">
        <x:f>SUM(F176:F179)</x:f>
        <x:v>667289478.60000002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1115150656.4000001</x:v>
      </x:c>
      <x:c r="E181" s="2">
        <x:f>E4+E43+E85+L4+L43+L85</x:f>
        <x:v>54068744</x:v>
      </x:c>
      <x:c r="F181" s="2">
        <x:f>F4+F43+F85+M4+M43+M85</x:f>
        <x:v>1169219400.4000001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491869764.4000001</x:v>
      </x:c>
      <x:c r="E182" s="2">
        <x:f>+E181-E180</x:f>
        <x:v>10060157.399999999</x:v>
      </x:c>
      <x:c r="F182" s="2">
        <x:f>+F181-F180</x:f>
        <x:v>501929921.80000007</x:v>
      </x:c>
      <x:c r="H182" s="1"/>
      <x:c r="I182" s="1"/>
      <x:c r="J182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/>
  <x:dimension ref="A1:S112"/>
  <x:sheetViews>
    <x:sheetView view="pageBreakPreview" topLeftCell="A1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1786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26"/>
      <x:c r="C2" s="126"/>
      <x:c r="D2" s="126"/>
      <x:c r="E2" s="126"/>
      <x:c r="F2" s="126"/>
      <x:c r="G2" s="126"/>
      <x:c r="H2" s="126"/>
      <x:c r="I2" s="126"/>
      <x:c r="J2" s="126"/>
      <x:c r="K2" s="126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28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634</x:v>
      </x:c>
      <x:c r="C5" s="63" t="s">
        <x:v>901</x:v>
      </x:c>
      <x:c r="D5" s="115" t="s">
        <x:v>97</x:v>
      </x:c>
      <x:c r="E5" s="74">
        <x:f>'20년09월(세부내역)'!D4</x:f>
        <x:v>123910000</x:v>
      </x:c>
      <x:c r="F5" s="67">
        <x:f>'20년09월(세부내역)'!D17</x:f>
        <x:v>595500</x:v>
      </x:c>
      <x:c r="G5" s="67">
        <x:f>'20년09월(세부내역)'!D22</x:f>
        <x:v>20040000</x:v>
      </x:c>
      <x:c r="H5" s="67">
        <x:f>'20년09월(세부내역)'!D27</x:f>
        <x:v>0</x:v>
      </x:c>
      <x:c r="I5" s="67">
        <x:f>'20년09월(세부내역)'!D38</x:f>
        <x:v>3840856</x:v>
      </x:c>
      <x:c r="J5" s="75">
        <x:f>+SUM(F5:I5)</x:f>
        <x:v>24476356</x:v>
      </x:c>
      <x:c r="K5" s="9">
        <x:f>E5-J5</x:f>
        <x:v>99433644</x:v>
      </x:c>
      <x:c r="L5" s="67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'20년09월(세부내역)'!K4</x:f>
        <x:v>79820000</x:v>
      </x:c>
      <x:c r="F6" s="59">
        <x:f>+'20년09월(세부내역)'!K17</x:f>
        <x:v>19870830</x:v>
      </x:c>
      <x:c r="G6" s="59">
        <x:f>'20년09월(세부내역)'!K22</x:f>
        <x:v>32334800</x:v>
      </x:c>
      <x:c r="H6" s="59">
        <x:f>'20년09월(세부내역)'!K27</x:f>
        <x:v>700000</x:v>
      </x:c>
      <x:c r="I6" s="59">
        <x:f>'20년09월(세부내역)'!K38</x:f>
        <x:v>2225943</x:v>
      </x:c>
      <x:c r="J6" s="75">
        <x:f>+SUM(F6:I6)</x:f>
        <x:v>55131573</x:v>
      </x:c>
      <x:c r="K6" s="9">
        <x:f>E6-J6</x:f>
        <x:v>24688427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111</x:v>
      </x:c>
      <x:c r="E7" s="74">
        <x:f>'20년09월(세부내역)'!D43</x:f>
        <x:v>330557889</x:v>
      </x:c>
      <x:c r="F7" s="59">
        <x:f>+'20년09월(세부내역)'!D59</x:f>
        <x:v>103553257</x:v>
      </x:c>
      <x:c r="G7" s="59">
        <x:f>'20년09월(세부내역)'!D64</x:f>
        <x:v>43530000</x:v>
      </x:c>
      <x:c r="H7" s="59">
        <x:f>'20년09월(세부내역)'!D69</x:f>
        <x:v>300000</x:v>
      </x:c>
      <x:c r="I7" s="59">
        <x:f>'20년09월(세부내역)'!D80</x:f>
        <x:v>4344210</x:v>
      </x:c>
      <x:c r="J7" s="75">
        <x:f>+SUM(F7:I7)</x:f>
        <x:v>151727467</x:v>
      </x:c>
      <x:c r="K7" s="80">
        <x:f>E7-J7</x:f>
        <x:v>178830422</x:v>
      </x:c>
      <x:c r="L7" s="119"/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108</x:v>
      </x:c>
      <x:c r="E8" s="74">
        <x:f>'20년09월(세부내역)'!K43</x:f>
        <x:v>338792892</x:v>
      </x:c>
      <x:c r="F8" s="59">
        <x:f>'20년09월(세부내역)'!K59</x:f>
        <x:v>184305890</x:v>
      </x:c>
      <x:c r="G8" s="59">
        <x:f>'20년09월(세부내역)'!K64</x:f>
        <x:v>34490000</x:v>
      </x:c>
      <x:c r="H8" s="59">
        <x:f>'20년09월(세부내역)'!K69</x:f>
        <x:v>0</x:v>
      </x:c>
      <x:c r="I8" s="59">
        <x:f>'20년09월(세부내역)'!K80</x:f>
        <x:v>3424900</x:v>
      </x:c>
      <x:c r="J8" s="75">
        <x:f>+SUM(F8:I8)</x:f>
        <x:v>222220790</x:v>
      </x:c>
      <x:c r="K8" s="80">
        <x:f>E8-J8</x:f>
        <x:v>116572102</x:v>
      </x:c>
      <x:c r="L8" s="119" t="s">
        <x:v>1214</x:v>
      </x:c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101</x:v>
      </x:c>
      <x:c r="E9" s="74">
        <x:f>'20년09월(세부내역)'!D85</x:f>
        <x:v>375466515</x:v>
      </x:c>
      <x:c r="F9" s="59">
        <x:f>'20년09월(세부내역)'!D101</x:f>
        <x:v>156179261</x:v>
      </x:c>
      <x:c r="G9" s="59">
        <x:f>'20년09월(세부내역)'!D106</x:f>
        <x:v>27400000</x:v>
      </x:c>
      <x:c r="H9" s="59">
        <x:f>'20년09월(세부내역)'!D111</x:f>
        <x:v>0</x:v>
      </x:c>
      <x:c r="I9" s="59">
        <x:f>'20년09월(세부내역)'!D122</x:f>
        <x:v>2381540</x:v>
      </x:c>
      <x:c r="J9" s="75">
        <x:f>+SUM(F9:I9)</x:f>
        <x:v>185960801</x:v>
      </x:c>
      <x:c r="K9" s="80">
        <x:f>E9-J9</x:f>
        <x:v>189505714</x:v>
      </x:c>
      <x:c r="L9" s="119" t="s">
        <x:v>1214</x:v>
      </x:c>
    </x:row>
    <x:row r="10" spans="1:12" ht="30" customHeight="1">
      <x:c r="A10" s="64"/>
      <x:c r="B10" s="64" t="s">
        <x:v>1690</x:v>
      </x:c>
      <x:c r="C10" s="64"/>
      <x:c r="D10" s="64"/>
      <x:c r="E10" s="68">
        <x:f t="shared" ref="E10:K10" si="0">SUM(E5:E9)</x:f>
        <x:v>1248547296</x:v>
      </x:c>
      <x:c r="F10" s="66">
        <x:f t="shared" si="0"/>
        <x:v>464504738</x:v>
      </x:c>
      <x:c r="G10" s="66">
        <x:f t="shared" si="0"/>
        <x:v>157794800</x:v>
      </x:c>
      <x:c r="H10" s="66">
        <x:f t="shared" si="0"/>
        <x:v>1000000</x:v>
      </x:c>
      <x:c r="I10" s="66">
        <x:f t="shared" si="0"/>
        <x:v>16217449</x:v>
      </x:c>
      <x:c r="J10" s="69">
        <x:f t="shared" si="0"/>
        <x:v>639516987</x:v>
      </x:c>
      <x:c r="K10" s="121">
        <x:f t="shared" si="0"/>
        <x:v>609030309</x:v>
      </x:c>
      <x:c r="L10" s="66"/>
    </x:row>
    <x:row r="22" spans="1:19" s="2" customFormat="1">
      <x:c r="A22" s="1"/>
      <x:c r="B22" s="1"/>
      <x:c r="C22" s="1"/>
      <x:c r="D22" s="1"/>
      <x:c r="E22" s="1"/>
      <x:c r="J22" s="1"/>
      <x:c r="K22" s="1"/>
      <x:c r="M22" s="1"/>
      <x:c r="N22" s="1"/>
      <x:c r="O22" s="1"/>
      <x:c r="P22" s="1"/>
      <x:c r="Q22" s="1"/>
      <x:c r="R22" s="1"/>
      <x:c r="S22" s="1"/>
    </x:row>
    <x:row r="112" spans="4:4">
      <x:c r="D112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/>
  <x:dimension ref="A1:N182"/>
  <x:sheetViews>
    <x:sheetView view="pageBreakPreview" topLeftCell="A1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1775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28" t="s">
        <x:v>144</x:v>
      </x:c>
      <x:c r="C3" s="128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28" t="s">
        <x:v>144</x:v>
      </x:c>
      <x:c r="J3" s="128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>
        <x:v>123910000</x:v>
      </x:c>
      <x:c r="E4" s="39">
        <x:v>590000</x:v>
      </x:c>
      <x:c r="F4" s="40">
        <x:f t="shared" ref="F4:F11" si="0">+D4+E4</x:f>
        <x:v>124500000</x:v>
      </x:c>
      <x:c r="G4" s="42" t="s">
        <x:v>1208</x:v>
      </x:c>
      <x:c r="H4" s="127" t="s">
        <x:v>151</x:v>
      </x:c>
      <x:c r="I4" s="38" t="s">
        <x:v>1679</x:v>
      </x:c>
      <x:c r="J4" s="38" t="s">
        <x:v>1030</x:v>
      </x:c>
      <x:c r="K4" s="39">
        <x:v>79820000</x:v>
      </x:c>
      <x:c r="L4" s="39">
        <x:v>180000</x:v>
      </x:c>
      <x:c r="M4" s="40">
        <x:f>+K4+L4</x:f>
        <x:v>80000000</x:v>
      </x:c>
      <x:c r="N4" s="18"/>
    </x:row>
    <x:row r="5" spans="1:14" ht="20.100000000000001" customHeight="1">
      <x:c r="A5" s="298" t="s">
        <x:v>148</x:v>
      </x:c>
      <x:c r="B5" s="19" t="s">
        <x:v>838</x:v>
      </x:c>
      <x:c r="C5" s="54"/>
      <x:c r="D5" s="20"/>
      <x:c r="E5" s="20">
        <x:f t="shared" ref="E5:E11" si="1">+D5*0.1</x:f>
        <x:v>0</x:v>
      </x:c>
      <x:c r="F5" s="21">
        <x:f t="shared" si="0"/>
        <x:v>0</x:v>
      </x:c>
      <x:c r="G5" s="22"/>
      <x:c r="H5" s="298" t="s">
        <x:v>148</x:v>
      </x:c>
      <x:c r="I5" s="19" t="s">
        <x:v>838</x:v>
      </x:c>
      <x:c r="J5" s="19"/>
      <x:c r="K5" s="20"/>
      <x:c r="L5" s="20">
        <x:f t="shared" ref="L5:L13" si="2">+K5*0.1</x:f>
        <x:v>0</x:v>
      </x:c>
      <x:c r="M5" s="21">
        <x:f t="shared" ref="M5:M21" si="3">+K5+L5</x:f>
        <x:v>0</x:v>
      </x:c>
      <x:c r="N5" s="22"/>
    </x:row>
    <x:row r="6" spans="1:14" ht="20.100000000000001" customHeight="1">
      <x:c r="A6" s="299"/>
      <x:c r="B6" s="3" t="s">
        <x:v>867</x:v>
      </x:c>
      <x:c r="C6" s="3" t="s">
        <x:v>393</x:v>
      </x:c>
      <x:c r="D6" s="4">
        <x:v>329400</x:v>
      </x:c>
      <x:c r="E6" s="4">
        <x:f t="shared" si="1"/>
        <x:v>32940</x:v>
      </x:c>
      <x:c r="F6" s="5">
        <x:f t="shared" si="0"/>
        <x:v>362340</x:v>
      </x:c>
      <x:c r="G6" s="6"/>
      <x:c r="H6" s="299"/>
      <x:c r="I6" s="3" t="s">
        <x:v>867</x:v>
      </x:c>
      <x:c r="J6" s="3" t="s">
        <x:v>384</x:v>
      </x:c>
      <x:c r="K6" s="4">
        <x:v>10480500</x:v>
      </x:c>
      <x:c r="L6" s="4">
        <x:f t="shared" si="2"/>
        <x:v>1048050</x:v>
      </x:c>
      <x:c r="M6" s="5">
        <x:f t="shared" si="3"/>
        <x:v>11528550</x:v>
      </x:c>
      <x:c r="N6" s="6"/>
    </x:row>
    <x:row r="7" spans="1:14" ht="20.100000000000001" customHeight="1">
      <x:c r="A7" s="299"/>
      <x:c r="B7" s="3" t="s">
        <x:v>840</x:v>
      </x:c>
      <x:c r="C7" s="3"/>
      <x:c r="D7" s="4"/>
      <x:c r="E7" s="4">
        <x:f t="shared" si="1"/>
        <x:v>0</x:v>
      </x:c>
      <x:c r="F7" s="5">
        <x:f t="shared" si="0"/>
        <x:v>0</x:v>
      </x:c>
      <x:c r="G7" s="6"/>
      <x:c r="H7" s="299"/>
      <x:c r="I7" s="3" t="s">
        <x:v>1119</x:v>
      </x:c>
      <x:c r="J7" s="3" t="s">
        <x:v>1227</x:v>
      </x:c>
      <x:c r="K7" s="4">
        <x:v>861500</x:v>
      </x:c>
      <x:c r="L7" s="4">
        <x:f t="shared" si="2"/>
        <x:v>86150</x:v>
      </x:c>
      <x:c r="M7" s="5">
        <x:f t="shared" si="3"/>
        <x:v>947650</x:v>
      </x:c>
      <x:c r="N7" s="6"/>
    </x:row>
    <x:row r="8" spans="1:14" ht="20.100000000000001" customHeight="1">
      <x:c r="A8" s="299"/>
      <x:c r="B8" s="3" t="s">
        <x:v>854</x:v>
      </x:c>
      <x:c r="C8" s="3"/>
      <x:c r="D8" s="4"/>
      <x:c r="E8" s="4">
        <x:f t="shared" si="1"/>
        <x:v>0</x:v>
      </x:c>
      <x:c r="F8" s="5">
        <x:f t="shared" si="0"/>
        <x:v>0</x:v>
      </x:c>
      <x:c r="G8" s="6"/>
      <x:c r="H8" s="299"/>
      <x:c r="I8" s="3" t="s">
        <x:v>976</x:v>
      </x:c>
      <x:c r="J8" s="3"/>
      <x:c r="K8" s="4"/>
      <x:c r="L8" s="4">
        <x:f t="shared" si="2"/>
        <x:v>0</x:v>
      </x:c>
      <x:c r="M8" s="5">
        <x:f t="shared" si="3"/>
        <x:v>0</x:v>
      </x:c>
      <x:c r="N8" s="6"/>
    </x:row>
    <x:row r="9" spans="1:14" ht="20.100000000000001" customHeight="1">
      <x:c r="A9" s="299"/>
      <x:c r="B9" s="3" t="s">
        <x:v>864</x:v>
      </x:c>
      <x:c r="C9" s="3"/>
      <x:c r="D9" s="4"/>
      <x:c r="E9" s="4">
        <x:f t="shared" si="1"/>
        <x:v>0</x:v>
      </x:c>
      <x:c r="F9" s="5">
        <x:f t="shared" si="0"/>
        <x:v>0</x:v>
      </x:c>
      <x:c r="G9" s="6"/>
      <x:c r="H9" s="299"/>
      <x:c r="I9" s="3" t="s">
        <x:v>840</x:v>
      </x:c>
      <x:c r="J9" s="3" t="s">
        <x:v>1210</x:v>
      </x:c>
      <x:c r="K9" s="4">
        <x:v>102000</x:v>
      </x:c>
      <x:c r="L9" s="4">
        <x:f t="shared" si="2"/>
        <x:v>10200</x:v>
      </x:c>
      <x:c r="M9" s="5">
        <x:f t="shared" si="3"/>
        <x:v>112200</x:v>
      </x:c>
      <x:c r="N9" s="6"/>
    </x:row>
    <x:row r="10" spans="1:14" ht="20.100000000000001" customHeight="1">
      <x:c r="A10" s="299"/>
      <x:c r="B10" s="3" t="s">
        <x:v>1705</x:v>
      </x:c>
      <x:c r="C10" s="3"/>
      <x:c r="D10" s="4"/>
      <x:c r="E10" s="4">
        <x:f t="shared" si="1"/>
        <x:v>0</x:v>
      </x:c>
      <x:c r="F10" s="5">
        <x:f t="shared" si="0"/>
        <x:v>0</x:v>
      </x:c>
      <x:c r="G10" s="6"/>
      <x:c r="H10" s="299"/>
      <x:c r="I10" s="3" t="s">
        <x:v>846</x:v>
      </x:c>
      <x:c r="J10" s="3" t="s">
        <x:v>1152</x:v>
      </x:c>
      <x:c r="K10" s="4">
        <x:v>1214950</x:v>
      </x:c>
      <x:c r="L10" s="4">
        <x:f t="shared" si="2"/>
        <x:v>121495</x:v>
      </x:c>
      <x:c r="M10" s="5">
        <x:f t="shared" ref="M10:M15" si="4">+K10+L10</x:f>
        <x:v>1336445</x:v>
      </x:c>
      <x:c r="N10" s="6"/>
    </x:row>
    <x:row r="11" spans="1:14" ht="20.100000000000001" customHeight="1">
      <x:c r="A11" s="299"/>
      <x:c r="B11" s="3" t="s">
        <x:v>846</x:v>
      </x:c>
      <x:c r="C11" s="3" t="s">
        <x:v>767</x:v>
      </x:c>
      <x:c r="D11" s="4">
        <x:v>266100</x:v>
      </x:c>
      <x:c r="E11" s="4">
        <x:f t="shared" si="1"/>
        <x:v>26610</x:v>
      </x:c>
      <x:c r="F11" s="45">
        <x:f t="shared" si="0"/>
        <x:v>292710</x:v>
      </x:c>
      <x:c r="G11" s="6"/>
      <x:c r="H11" s="299"/>
      <x:c r="I11" s="3" t="s">
        <x:v>846</x:v>
      </x:c>
      <x:c r="J11" s="3" t="s">
        <x:v>953</x:v>
      </x:c>
      <x:c r="K11" s="4">
        <x:v>1083000</x:v>
      </x:c>
      <x:c r="L11" s="4">
        <x:f t="shared" si="2"/>
        <x:v>108300</x:v>
      </x:c>
      <x:c r="M11" s="5">
        <x:f t="shared" si="4"/>
        <x:v>1191300</x:v>
      </x:c>
      <x:c r="N11" s="6"/>
    </x:row>
    <x:row r="12" spans="1:14" ht="20.100000000000001" customHeight="1">
      <x:c r="A12" s="299"/>
      <x:c r="B12" s="3"/>
      <x:c r="C12" s="3"/>
      <x:c r="D12" s="4"/>
      <x:c r="E12" s="4"/>
      <x:c r="F12" s="5"/>
      <x:c r="G12" s="6"/>
      <x:c r="H12" s="299"/>
      <x:c r="I12" s="3" t="s">
        <x:v>1705</x:v>
      </x:c>
      <x:c r="J12" s="3" t="s">
        <x:v>1113</x:v>
      </x:c>
      <x:c r="K12" s="4">
        <x:v>131200</x:v>
      </x:c>
      <x:c r="L12" s="4">
        <x:f t="shared" si="2"/>
        <x:v>13120</x:v>
      </x:c>
      <x:c r="M12" s="5">
        <x:f t="shared" si="4"/>
        <x:v>144320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45"/>
      <x:c r="G13" s="6"/>
      <x:c r="H13" s="299"/>
      <x:c r="I13" s="3" t="s">
        <x:v>854</x:v>
      </x:c>
      <x:c r="J13" s="3"/>
      <x:c r="K13" s="4"/>
      <x:c r="L13" s="4">
        <x:f t="shared" si="2"/>
        <x:v>0</x:v>
      </x:c>
      <x:c r="M13" s="5">
        <x:f t="shared" si="4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/>
      <x:c r="F14" s="45"/>
      <x:c r="G14" s="6"/>
      <x:c r="H14" s="299"/>
      <x:c r="I14" s="3" t="s">
        <x:v>1058</x:v>
      </x:c>
      <x:c r="J14" s="3" t="s">
        <x:v>748</x:v>
      </x:c>
      <x:c r="K14" s="4">
        <x:v>5097680</x:v>
      </x:c>
      <x:c r="L14" s="4">
        <x:f>K14*0.1</x:f>
        <x:v>509768</x:v>
      </x:c>
      <x:c r="M14" s="5">
        <x:f t="shared" si="4"/>
        <x:v>5607448</x:v>
      </x:c>
      <x:c r="N14" s="6"/>
    </x:row>
    <x:row r="15" spans="1:14" ht="20.100000000000001" customHeight="1">
      <x:c r="A15" s="299"/>
      <x:c r="B15" s="3"/>
      <x:c r="C15" s="3"/>
      <x:c r="D15" s="4"/>
      <x:c r="E15" s="4"/>
      <x:c r="F15" s="45"/>
      <x:c r="G15" s="6"/>
      <x:c r="H15" s="299"/>
      <x:c r="I15" s="3" t="s">
        <x:v>1203</x:v>
      </x:c>
      <x:c r="J15" s="3" t="s">
        <x:v>1221</x:v>
      </x:c>
      <x:c r="K15" s="4">
        <x:v>900000</x:v>
      </x:c>
      <x:c r="L15" s="4">
        <x:f>K15*0.1</x:f>
        <x:v>90000</x:v>
      </x:c>
      <x:c r="M15" s="5">
        <x:f t="shared" si="4"/>
        <x:v>990000</x:v>
      </x:c>
      <x:c r="N15" s="6"/>
    </x:row>
    <x:row r="16" spans="1:14" ht="20.100000000000001" customHeight="1">
      <x:c r="A16" s="300"/>
      <x:c r="B16" s="3"/>
      <x:c r="C16" s="3"/>
      <x:c r="D16" s="4"/>
      <x:c r="E16" s="4"/>
      <x:c r="F16" s="45"/>
      <x:c r="G16" s="6"/>
      <x:c r="H16" s="300"/>
      <x:c r="I16" s="3"/>
      <x:c r="J16" s="3"/>
      <x:c r="K16" s="4"/>
      <x:c r="L16" s="4">
        <x:f>K16*0.1</x:f>
        <x:v>0</x:v>
      </x:c>
      <x:c r="M16" s="5">
        <x:f>+K16+L16</x:f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595500</x:v>
      </x:c>
      <x:c r="E17" s="9">
        <x:f>SUM(E5:E16)</x:f>
        <x:v>59550</x:v>
      </x:c>
      <x:c r="F17" s="10">
        <x:f>SUM(F5:F16)</x:f>
        <x:v>655050</x:v>
      </x:c>
      <x:c r="G17" s="11"/>
      <x:c r="H17" s="7"/>
      <x:c r="I17" s="8"/>
      <x:c r="J17" s="8"/>
      <x:c r="K17" s="9">
        <x:f>SUM(K5:K16)</x:f>
        <x:v>19870830</x:v>
      </x:c>
      <x:c r="L17" s="9">
        <x:f>SUM(L5:L16)</x:f>
        <x:v>1987083</x:v>
      </x:c>
      <x:c r="M17" s="10">
        <x:f>SUM(M5:M16)</x:f>
        <x:v>21857913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12540000</x:v>
      </x:c>
      <x:c r="E18" s="44"/>
      <x:c r="F18" s="45">
        <x:f>+D18+E18</x:f>
        <x:v>12540000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19600000</x:v>
      </x:c>
      <x:c r="L18" s="4"/>
      <x:c r="M18" s="5">
        <x:f t="shared" si="3"/>
        <x:v>19600000</x:v>
      </x:c>
      <x:c r="N18" s="6"/>
    </x:row>
    <x:row r="19" spans="1:14" ht="20.100000000000001" customHeight="1">
      <x:c r="A19" s="299"/>
      <x:c r="B19" s="3" t="s">
        <x:v>1050</x:v>
      </x:c>
      <x:c r="C19" s="3" t="s">
        <x:v>229</x:v>
      </x:c>
      <x:c r="D19" s="4">
        <x:v>4000000</x:v>
      </x:c>
      <x:c r="E19" s="4"/>
      <x:c r="F19" s="5">
        <x:f>+D19+E19</x:f>
        <x:v>4000000</x:v>
      </x:c>
      <x:c r="G19" s="37"/>
      <x:c r="H19" s="299"/>
      <x:c r="I19" s="3" t="s">
        <x:v>695</x:v>
      </x:c>
      <x:c r="J19" s="3" t="s">
        <x:v>1107</x:v>
      </x:c>
      <x:c r="K19" s="4">
        <x:v>9700000</x:v>
      </x:c>
      <x:c r="L19" s="4"/>
      <x:c r="M19" s="5">
        <x:f t="shared" si="3"/>
        <x:v>9700000</x:v>
      </x:c>
      <x:c r="N19" s="6"/>
    </x:row>
    <x:row r="20" spans="1:14" ht="20.100000000000001" customHeight="1">
      <x:c r="A20" s="299"/>
      <x:c r="B20" s="3" t="s">
        <x:v>1050</x:v>
      </x:c>
      <x:c r="C20" s="3" t="s">
        <x:v>230</x:v>
      </x:c>
      <x:c r="D20" s="4">
        <x:v>3500000</x:v>
      </x:c>
      <x:c r="E20" s="4"/>
      <x:c r="F20" s="5">
        <x:f>+D20+E20</x:f>
        <x:v>3500000</x:v>
      </x:c>
      <x:c r="G20" s="37"/>
      <x:c r="H20" s="299"/>
      <x:c r="I20" s="3" t="s">
        <x:v>703</x:v>
      </x:c>
      <x:c r="J20" s="3" t="s">
        <x:v>194</x:v>
      </x:c>
      <x:c r="K20" s="4">
        <x:v>3034800</x:v>
      </x:c>
      <x:c r="L20" s="4">
        <x:f>K20*0.1</x:f>
        <x:v>303480</x:v>
      </x:c>
      <x:c r="M20" s="5">
        <x:f t="shared" si="3"/>
        <x:v>3338280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3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20040000</x:v>
      </x:c>
      <x:c r="E22" s="9">
        <x:f>SUM(E18:E21)</x:f>
        <x:v>0</x:v>
      </x:c>
      <x:c r="F22" s="10">
        <x:f>SUM(F18:F21)</x:f>
        <x:v>20040000</x:v>
      </x:c>
      <x:c r="G22" s="11"/>
      <x:c r="H22" s="7"/>
      <x:c r="I22" s="8"/>
      <x:c r="J22" s="8"/>
      <x:c r="K22" s="9">
        <x:f>SUM(K18:K21)</x:f>
        <x:v>32334800</x:v>
      </x:c>
      <x:c r="L22" s="9">
        <x:f>SUM(L18:L21)</x:f>
        <x:v>303480</x:v>
      </x:c>
      <x:c r="M22" s="10">
        <x:f>SUM(M18:M21)</x:f>
        <x:v>32638280</x:v>
      </x:c>
      <x:c r="N22" s="11"/>
    </x:row>
    <x:row r="23" spans="1:14" ht="20.100000000000001" customHeight="1">
      <x:c r="A23" s="301" t="s">
        <x:v>187</x:v>
      </x:c>
      <x:c r="B23" s="3" t="s">
        <x:v>1010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600000</x:v>
      </x:c>
      <x:c r="L23" s="4">
        <x:f>+K23*0.1</x:f>
        <x:v>60000</x:v>
      </x:c>
      <x:c r="M23" s="5">
        <x:f>+K23+L23</x:f>
        <x:v>660000</x:v>
      </x:c>
      <x:c r="N23" s="6"/>
    </x:row>
    <x:row r="24" spans="1:14" ht="20.100000000000001" customHeight="1">
      <x:c r="A24" s="299"/>
      <x:c r="B24" s="3" t="s">
        <x:v>857</x:v>
      </x:c>
      <x:c r="C24" s="3" t="s">
        <x:v>1006</x:v>
      </x:c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100000</x:v>
      </x:c>
      <x:c r="L24" s="4">
        <x:f>K24*0.1</x:f>
        <x:v>10000</x:v>
      </x:c>
      <x:c r="M24" s="5">
        <x:f>+K24+L24</x:f>
        <x:v>110000</x:v>
      </x:c>
      <x:c r="N24" s="6"/>
    </x:row>
    <x:row r="25" spans="1:14" ht="20.100000000000001" customHeight="1">
      <x:c r="A25" s="299"/>
      <x:c r="B25" s="3" t="s">
        <x:v>1156</x:v>
      </x:c>
      <x:c r="C25" s="3" t="s">
        <x:v>946</x:v>
      </x:c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700000</x:v>
      </x:c>
      <x:c r="L27" s="9">
        <x:f>SUM(L23:L26)</x:f>
        <x:v>70000</x:v>
      </x:c>
      <x:c r="M27" s="10">
        <x:f>SUM(M23:M26)</x:f>
        <x:v>770000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1446810</x:v>
      </x:c>
      <x:c r="E28" s="44"/>
      <x:c r="F28" s="5">
        <x:f>+D28+E28</x:f>
        <x:v>1446810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893580</x:v>
      </x:c>
      <x:c r="L28" s="4">
        <x:v>7000</x:v>
      </x:c>
      <x:c r="M28" s="5">
        <x:f t="shared" ref="M28:M37" si="5">+K28+L28</x:f>
        <x:v>900580</x:v>
      </x:c>
      <x:c r="N28" s="6"/>
    </x:row>
    <x:row r="29" spans="1:14" ht="20.100000000000001" customHeight="1">
      <x:c r="A29" s="299"/>
      <x:c r="B29" s="3" t="s">
        <x:v>959</x:v>
      </x:c>
      <x:c r="C29" s="3" t="s">
        <x:v>739</x:v>
      </x:c>
      <x:c r="D29" s="4">
        <x:v>540000</x:v>
      </x:c>
      <x:c r="E29" s="4">
        <x:f>+D29*0.1</x:f>
        <x:v>54000</x:v>
      </x:c>
      <x:c r="F29" s="5">
        <x:f>+D29+E29</x:f>
        <x:v>594000</x:v>
      </x:c>
      <x:c r="G29" s="6"/>
      <x:c r="H29" s="299"/>
      <x:c r="I29" s="3" t="s">
        <x:v>1205</x:v>
      </x:c>
      <x:c r="J29" s="3" t="s">
        <x:v>28</x:v>
      </x:c>
      <x:c r="K29" s="4">
        <x:v>496363</x:v>
      </x:c>
      <x:c r="L29" s="4">
        <x:f>+K29*0.1+1</x:f>
        <x:v>49637.300000000003</x:v>
      </x:c>
      <x:c r="M29" s="5">
        <x:f t="shared" si="5"/>
        <x:v>546000.30000000005</x:v>
      </x:c>
      <x:c r="N29" s="6"/>
    </x:row>
    <x:row r="30" spans="1:14" ht="20.100000000000001" customHeight="1">
      <x:c r="A30" s="299"/>
      <x:c r="B30" s="3" t="s">
        <x:v>186</x:v>
      </x:c>
      <x:c r="C30" s="3" t="s">
        <x:v>1071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5"/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130000</x:v>
      </x:c>
      <x:c r="E31" s="4">
        <x:f>+D31*0.1</x:f>
        <x:v>13000</x:v>
      </x:c>
      <x:c r="F31" s="5">
        <x:f t="shared" ref="F31:F37" si="6">+D31+E31</x:f>
        <x:v>143000</x:v>
      </x:c>
      <x:c r="G31" s="6"/>
      <x:c r="H31" s="299"/>
      <x:c r="I31" s="3" t="s">
        <x:v>883</x:v>
      </x:c>
      <x:c r="J31" s="3" t="s">
        <x:v>1799</x:v>
      </x:c>
      <x:c r="K31" s="4">
        <x:v>200000</x:v>
      </x:c>
      <x:c r="L31" s="4">
        <x:f>K31*0.1</x:f>
        <x:v>20000</x:v>
      </x:c>
      <x:c r="M31" s="5">
        <x:f t="shared" si="5"/>
        <x:v>220000</x:v>
      </x:c>
      <x:c r="N31" s="6"/>
    </x:row>
    <x:row r="32" spans="1:14" ht="20.100000000000001" customHeight="1">
      <x:c r="A32" s="299"/>
      <x:c r="B32" s="3" t="s">
        <x:v>1699</x:v>
      </x:c>
      <x:c r="C32" s="3" t="s">
        <x:v>167</x:v>
      </x:c>
      <x:c r="D32" s="4"/>
      <x:c r="E32" s="4">
        <x:f>+D32*0.1</x:f>
        <x:v>0</x:v>
      </x:c>
      <x:c r="F32" s="5">
        <x:f t="shared" si="6"/>
        <x:v>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5"/>
        <x:v>110000</x:v>
      </x:c>
      <x:c r="N32" s="6"/>
    </x:row>
    <x:row r="33" spans="1:14" ht="20.100000000000001" customHeight="1">
      <x:c r="A33" s="299"/>
      <x:c r="B33" s="3" t="s">
        <x:v>994</x:v>
      </x:c>
      <x:c r="C33" s="3" t="s">
        <x:v>8</x:v>
      </x:c>
      <x:c r="D33" s="4">
        <x:v>424546</x:v>
      </x:c>
      <x:c r="E33" s="4">
        <x:f>+INT(D33*0.1)</x:f>
        <x:v>42454</x:v>
      </x:c>
      <x:c r="F33" s="5">
        <x:f t="shared" si="6"/>
        <x:v>467000</x:v>
      </x:c>
      <x:c r="G33" s="6"/>
      <x:c r="H33" s="299"/>
      <x:c r="I33" s="3" t="s">
        <x:v>1120</x:v>
      </x:c>
      <x:c r="J33" s="3" t="s">
        <x:v>167</x:v>
      </x:c>
      <x:c r="K33" s="4">
        <x:v>15000</x:v>
      </x:c>
      <x:c r="L33" s="4">
        <x:f>K33*0.1</x:f>
        <x:v>1500</x:v>
      </x:c>
      <x:c r="M33" s="5">
        <x:f t="shared" si="5"/>
        <x:v>16500</x:v>
      </x:c>
      <x:c r="N33" s="6"/>
    </x:row>
    <x:row r="34" spans="1:14" ht="20.100000000000001" customHeight="1">
      <x:c r="A34" s="299"/>
      <x:c r="B34" s="3" t="s">
        <x:v>247</x:v>
      </x:c>
      <x:c r="C34" s="3" t="s">
        <x:v>231</x:v>
      </x:c>
      <x:c r="D34" s="4">
        <x:v>22000</x:v>
      </x:c>
      <x:c r="E34" s="4">
        <x:f>+D34*0.1</x:f>
        <x:v>2200</x:v>
      </x:c>
      <x:c r="F34" s="5">
        <x:f>+D34+E34</x:f>
        <x:v>24200</x:v>
      </x:c>
      <x:c r="G34" s="6"/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5"/>
        <x:v>23100</x:v>
      </x:c>
      <x:c r="N34" s="6"/>
    </x:row>
    <x:row r="35" spans="1:14" ht="20.100000000000001" customHeight="1">
      <x:c r="A35" s="299"/>
      <x:c r="B35" s="3" t="s">
        <x:v>951</x:v>
      </x:c>
      <x:c r="C35" s="3" t="s">
        <x:v>1250</x:v>
      </x:c>
      <x:c r="D35" s="4">
        <x:v>727500</x:v>
      </x:c>
      <x:c r="E35" s="4"/>
      <x:c r="F35" s="5">
        <x:f>+D35+E35</x:f>
        <x:v>727500</x:v>
      </x:c>
      <x:c r="G35" s="6"/>
      <x:c r="H35" s="299"/>
      <x:c r="I35" s="3"/>
      <x:c r="J35" s="3"/>
      <x:c r="K35" s="4"/>
      <x:c r="L35" s="4"/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6"/>
        <x:v>0</x:v>
      </x:c>
      <x:c r="G36" s="6"/>
      <x:c r="H36" s="299"/>
      <x:c r="I36" s="3"/>
      <x:c r="J36" s="3"/>
      <x:c r="K36" s="4"/>
      <x:c r="L36" s="4"/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6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3840856</x:v>
      </x:c>
      <x:c r="E38" s="9">
        <x:f>SUM(E28:E37)</x:f>
        <x:v>111654</x:v>
      </x:c>
      <x:c r="F38" s="10">
        <x:f>SUM(F28:F37)</x:f>
        <x:v>3952510</x:v>
      </x:c>
      <x:c r="G38" s="11"/>
      <x:c r="H38" s="7"/>
      <x:c r="I38" s="8"/>
      <x:c r="J38" s="8"/>
      <x:c r="K38" s="9">
        <x:f>SUM(K28:K37)</x:f>
        <x:v>2225943</x:v>
      </x:c>
      <x:c r="L38" s="9">
        <x:f>SUM(L28:L37)</x:f>
        <x:v>140237.29999999999</x:v>
      </x:c>
      <x:c r="M38" s="10">
        <x:f>SUM(M28:M37)</x:f>
        <x:v>2366180.2999999998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24476356</x:v>
      </x:c>
      <x:c r="E39" s="14">
        <x:f>+E17+E22+E27+E38</x:f>
        <x:v>171204</x:v>
      </x:c>
      <x:c r="F39" s="15">
        <x:f>+F17+F22+F27+F38</x:f>
        <x:v>24647560</x:v>
      </x:c>
      <x:c r="G39" s="16"/>
      <x:c r="H39" s="12"/>
      <x:c r="I39" s="13"/>
      <x:c r="J39" s="13"/>
      <x:c r="K39" s="14">
        <x:f>+K17+K22+K27+K38</x:f>
        <x:v>55131573</x:v>
      </x:c>
      <x:c r="L39" s="14">
        <x:f>+L17+L22+L27+L38</x:f>
        <x:v>2500800.2999999998</x:v>
      </x:c>
      <x:c r="M39" s="15">
        <x:f>+M17+M22+M27+M38</x:f>
        <x:v>57632373.299999997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99433644</x:v>
      </x:c>
      <x:c r="E40" s="25">
        <x:f>+E4-E39</x:f>
        <x:v>418796</x:v>
      </x:c>
      <x:c r="F40" s="26">
        <x:f>+F4-F39</x:f>
        <x:v>99852440</x:v>
      </x:c>
      <x:c r="G40" s="27"/>
      <x:c r="H40" s="23"/>
      <x:c r="I40" s="24"/>
      <x:c r="J40" s="24"/>
      <x:c r="K40" s="25">
        <x:f>+K4-K39</x:f>
        <x:v>24688427</x:v>
      </x:c>
      <x:c r="L40" s="25">
        <x:f>+L4-L39</x:f>
        <x:v>-2320800.2999999998</x:v>
      </x:c>
      <x:c r="M40" s="26">
        <x:f>+M4-M39</x:f>
        <x:v>22367626.700000003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28" t="s">
        <x:v>144</x:v>
      </x:c>
      <x:c r="C42" s="128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28" t="s">
        <x:v>144</x:v>
      </x:c>
      <x:c r="J42" s="128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27" t="s">
        <x:v>151</x:v>
      </x:c>
      <x:c r="B43" s="38" t="s">
        <x:v>1679</x:v>
      </x:c>
      <x:c r="C43" s="38" t="s">
        <x:v>1030</x:v>
      </x:c>
      <x:c r="D43" s="39">
        <x:v>330557889</x:v>
      </x:c>
      <x:c r="E43" s="39">
        <x:v>24442111</x:v>
      </x:c>
      <x:c r="F43" s="40">
        <x:f t="shared" ref="F43:F58" si="7">+D43+E43</x:f>
        <x:v>355000000</x:v>
      </x:c>
      <x:c r="G43" s="18"/>
      <x:c r="H43" s="127" t="s">
        <x:v>151</x:v>
      </x:c>
      <x:c r="I43" s="38" t="s">
        <x:v>1679</x:v>
      </x:c>
      <x:c r="J43" s="38" t="s">
        <x:v>1030</x:v>
      </x:c>
      <x:c r="K43" s="39">
        <x:f>108842892+229950000</x:f>
        <x:v>338792892</x:v>
      </x:c>
      <x:c r="L43" s="39">
        <x:f>1157108+22995000</x:f>
        <x:v>24152108</x:v>
      </x:c>
      <x:c r="M43" s="40">
        <x:f>+K43+L43</x:f>
        <x:v>362945000</x:v>
      </x:c>
      <x:c r="N43" s="18" t="s">
        <x:v>1214</x:v>
      </x:c>
    </x:row>
    <x:row r="44" spans="1:14" ht="20.100000000000001" customHeight="1">
      <x:c r="A44" s="298" t="s">
        <x:v>148</x:v>
      </x:c>
      <x:c r="B44" s="19" t="s">
        <x:v>838</x:v>
      </x:c>
      <x:c r="C44" s="19" t="s">
        <x:v>1116</x:v>
      </x:c>
      <x:c r="D44" s="20"/>
      <x:c r="E44" s="20">
        <x:f>D44*0.1</x:f>
        <x:v>0</x:v>
      </x:c>
      <x:c r="F44" s="21">
        <x:f t="shared" si="7"/>
        <x:v>0</x:v>
      </x:c>
      <x:c r="G44" s="22"/>
      <x:c r="H44" s="298" t="s">
        <x:v>148</x:v>
      </x:c>
      <x:c r="I44" s="19" t="s">
        <x:v>838</x:v>
      </x:c>
      <x:c r="J44" s="19" t="s">
        <x:v>1116</x:v>
      </x:c>
      <x:c r="K44" s="20">
        <x:v>220500</x:v>
      </x:c>
      <x:c r="L44" s="20">
        <x:f>+K44*0.1</x:f>
        <x:v>22050</x:v>
      </x:c>
      <x:c r="M44" s="21">
        <x:f>+K44+L44</x:f>
        <x:v>242550</x:v>
      </x:c>
      <x:c r="N44" s="22"/>
    </x:row>
    <x:row r="45" spans="1:14" ht="20.100000000000001" customHeight="1">
      <x:c r="A45" s="299"/>
      <x:c r="B45" s="3" t="s">
        <x:v>840</x:v>
      </x:c>
      <x:c r="C45" s="3" t="s">
        <x:v>742</x:v>
      </x:c>
      <x:c r="D45" s="4">
        <x:v>514388</x:v>
      </x:c>
      <x:c r="E45" s="4">
        <x:f>INT(D45*0.1)</x:f>
        <x:v>51438</x:v>
      </x:c>
      <x:c r="F45" s="5">
        <x:f t="shared" si="7"/>
        <x:v>565826</x:v>
      </x:c>
      <x:c r="G45" s="6"/>
      <x:c r="H45" s="299"/>
      <x:c r="I45" s="3" t="s">
        <x:v>867</x:v>
      </x:c>
      <x:c r="J45" s="3" t="s">
        <x:v>369</x:v>
      </x:c>
      <x:c r="K45" s="4">
        <x:v>20925400</x:v>
      </x:c>
      <x:c r="L45" s="4">
        <x:f>+K45*0.1</x:f>
        <x:v>2092540</x:v>
      </x:c>
      <x:c r="M45" s="5">
        <x:f>+K45+L45</x:f>
        <x:v>23017940</x:v>
      </x:c>
      <x:c r="N45" s="6"/>
    </x:row>
    <x:row r="46" spans="1:14" ht="20.100000000000001" customHeight="1">
      <x:c r="A46" s="299"/>
      <x:c r="B46" s="3" t="s">
        <x:v>21</x:v>
      </x:c>
      <x:c r="C46" s="3" t="s">
        <x:v>893</x:v>
      </x:c>
      <x:c r="D46" s="4">
        <x:v>3394526</x:v>
      </x:c>
      <x:c r="E46" s="4">
        <x:f>D46*0.1</x:f>
        <x:v>339452.60000000003</x:v>
      </x:c>
      <x:c r="F46" s="5">
        <x:f t="shared" si="7"/>
        <x:v>3733978.6000000001</x:v>
      </x:c>
      <x:c r="G46" s="6"/>
      <x:c r="H46" s="299"/>
      <x:c r="I46" s="3" t="s">
        <x:v>840</x:v>
      </x:c>
      <x:c r="J46" s="3" t="s">
        <x:v>383</x:v>
      </x:c>
      <x:c r="K46" s="4">
        <x:v>84000</x:v>
      </x:c>
      <x:c r="L46" s="4">
        <x:f>+INT(K46*0.1)</x:f>
        <x:v>8400</x:v>
      </x:c>
      <x:c r="M46" s="5">
        <x:f t="shared" ref="M46:M57" si="8">+K46+L46</x:f>
        <x:v>92400</x:v>
      </x:c>
      <x:c r="N46" s="6"/>
    </x:row>
    <x:row r="47" spans="1:14" ht="20.100000000000001" customHeight="1">
      <x:c r="A47" s="299"/>
      <x:c r="B47" s="3" t="s">
        <x:v>976</x:v>
      </x:c>
      <x:c r="C47" s="3"/>
      <x:c r="D47" s="4"/>
      <x:c r="E47" s="4">
        <x:f>D47*0.1</x:f>
        <x:v>0</x:v>
      </x:c>
      <x:c r="F47" s="5">
        <x:f t="shared" si="7"/>
        <x:v>0</x:v>
      </x:c>
      <x:c r="G47" s="6"/>
      <x:c r="H47" s="299"/>
      <x:c r="I47" s="3" t="s">
        <x:v>976</x:v>
      </x:c>
      <x:c r="J47" s="3"/>
      <x:c r="K47" s="4"/>
      <x:c r="L47" s="4">
        <x:f t="shared" ref="L47:L57" si="9">+INT(K47*0.1)</x:f>
        <x:v>0</x:v>
      </x:c>
      <x:c r="M47" s="5">
        <x:f t="shared" si="8"/>
        <x:v>0</x:v>
      </x:c>
      <x:c r="N47" s="6"/>
    </x:row>
    <x:row r="48" spans="1:14" ht="20.100000000000001" customHeight="1">
      <x:c r="A48" s="299"/>
      <x:c r="B48" s="3" t="s">
        <x:v>1058</x:v>
      </x:c>
      <x:c r="C48" s="3" t="s">
        <x:v>756</x:v>
      </x:c>
      <x:c r="D48" s="4">
        <x:v>601360</x:v>
      </x:c>
      <x:c r="E48" s="4">
        <x:f>D48*0.1</x:f>
        <x:v>60136</x:v>
      </x:c>
      <x:c r="F48" s="5">
        <x:f t="shared" si="7"/>
        <x:v>661496</x:v>
      </x:c>
      <x:c r="G48" s="6"/>
      <x:c r="H48" s="299"/>
      <x:c r="I48" s="3" t="s">
        <x:v>1058</x:v>
      </x:c>
      <x:c r="J48" s="3" t="s">
        <x:v>387</x:v>
      </x:c>
      <x:c r="K48" s="4">
        <x:v>2971100</x:v>
      </x:c>
      <x:c r="L48" s="4">
        <x:f t="shared" si="9"/>
        <x:v>297110</x:v>
      </x:c>
      <x:c r="M48" s="5">
        <x:f t="shared" si="8"/>
        <x:v>3268210</x:v>
      </x:c>
      <x:c r="N48" s="6"/>
    </x:row>
    <x:row r="49" spans="1:14" ht="20.100000000000001" customHeight="1">
      <x:c r="A49" s="299"/>
      <x:c r="B49" s="3" t="s">
        <x:v>854</x:v>
      </x:c>
      <x:c r="C49" s="3" t="s">
        <x:v>764</x:v>
      </x:c>
      <x:c r="D49" s="4">
        <x:v>637200</x:v>
      </x:c>
      <x:c r="E49" s="4">
        <x:f t="shared" ref="E49:E58" si="10">+INT(D49*0.1)</x:f>
        <x:v>63720</x:v>
      </x:c>
      <x:c r="F49" s="5">
        <x:f t="shared" si="7"/>
        <x:v>700920</x:v>
      </x:c>
      <x:c r="G49" s="6"/>
      <x:c r="H49" s="299"/>
      <x:c r="I49" s="3" t="s">
        <x:v>967</x:v>
      </x:c>
      <x:c r="J49" s="3"/>
      <x:c r="K49" s="4"/>
      <x:c r="L49" s="4">
        <x:f t="shared" si="9"/>
        <x:v>0</x:v>
      </x:c>
      <x:c r="M49" s="5">
        <x:f t="shared" si="8"/>
        <x:v>0</x:v>
      </x:c>
      <x:c r="N49" s="6"/>
    </x:row>
    <x:row r="50" spans="1:14" ht="20.100000000000001" customHeight="1">
      <x:c r="A50" s="299"/>
      <x:c r="B50" s="3" t="s">
        <x:v>1705</x:v>
      </x:c>
      <x:c r="C50" s="3" t="s">
        <x:v>1198</x:v>
      </x:c>
      <x:c r="D50" s="4">
        <x:v>24000</x:v>
      </x:c>
      <x:c r="E50" s="4">
        <x:f t="shared" si="10"/>
        <x:v>2400</x:v>
      </x:c>
      <x:c r="F50" s="5">
        <x:f t="shared" si="7"/>
        <x:v>26400</x:v>
      </x:c>
      <x:c r="G50" s="6"/>
      <x:c r="H50" s="299"/>
      <x:c r="I50" s="3" t="s">
        <x:v>846</x:v>
      </x:c>
      <x:c r="J50" s="3" t="s">
        <x:v>419</x:v>
      </x:c>
      <x:c r="K50" s="4">
        <x:v>2177250</x:v>
      </x:c>
      <x:c r="L50" s="4">
        <x:f t="shared" si="9"/>
        <x:v>217725</x:v>
      </x:c>
      <x:c r="M50" s="5">
        <x:f t="shared" si="8"/>
        <x:v>2394975</x:v>
      </x:c>
      <x:c r="N50" s="6"/>
    </x:row>
    <x:row r="51" spans="1:14" ht="20.100000000000001" customHeight="1">
      <x:c r="A51" s="299"/>
      <x:c r="B51" s="3" t="s">
        <x:v>1119</x:v>
      </x:c>
      <x:c r="C51" s="3" t="s">
        <x:v>763</x:v>
      </x:c>
      <x:c r="D51" s="4">
        <x:v>26000</x:v>
      </x:c>
      <x:c r="E51" s="4">
        <x:f t="shared" si="10"/>
        <x:v>2600</x:v>
      </x:c>
      <x:c r="F51" s="5">
        <x:f t="shared" si="7"/>
        <x:v>28600</x:v>
      </x:c>
      <x:c r="G51" s="6"/>
      <x:c r="H51" s="299"/>
      <x:c r="I51" s="3" t="s">
        <x:v>938</x:v>
      </x:c>
      <x:c r="J51" s="3"/>
      <x:c r="K51" s="4"/>
      <x:c r="L51" s="4">
        <x:f t="shared" si="9"/>
        <x:v>0</x:v>
      </x:c>
      <x:c r="M51" s="5">
        <x:f t="shared" si="8"/>
        <x:v>0</x:v>
      </x:c>
      <x:c r="N51" s="6"/>
    </x:row>
    <x:row r="52" spans="1:14" ht="20.100000000000001" customHeight="1">
      <x:c r="A52" s="299"/>
      <x:c r="B52" s="3" t="s">
        <x:v>1173</x:v>
      </x:c>
      <x:c r="C52" s="3" t="s">
        <x:v>170</x:v>
      </x:c>
      <x:c r="D52" s="4">
        <x:v>15581220</x:v>
      </x:c>
      <x:c r="E52" s="4">
        <x:f t="shared" si="10"/>
        <x:v>1558122</x:v>
      </x:c>
      <x:c r="F52" s="5">
        <x:f t="shared" si="7"/>
        <x:v>17139342</x:v>
      </x:c>
      <x:c r="G52" s="6"/>
      <x:c r="H52" s="299"/>
      <x:c r="I52" s="3" t="s">
        <x:v>1705</x:v>
      </x:c>
      <x:c r="J52" s="3"/>
      <x:c r="K52" s="4"/>
      <x:c r="L52" s="4">
        <x:f t="shared" si="9"/>
        <x:v>0</x:v>
      </x:c>
      <x:c r="M52" s="5">
        <x:f t="shared" si="8"/>
        <x:v>0</x:v>
      </x:c>
      <x:c r="N52" s="6"/>
    </x:row>
    <x:row r="53" spans="1:14" ht="20.100000000000001" customHeight="1">
      <x:c r="A53" s="299"/>
      <x:c r="B53" s="3" t="s">
        <x:v>846</x:v>
      </x:c>
      <x:c r="C53" s="3" t="s">
        <x:v>1223</x:v>
      </x:c>
      <x:c r="D53" s="4">
        <x:v>2380563</x:v>
      </x:c>
      <x:c r="E53" s="4">
        <x:f>+INT(D53*0.1)-1</x:f>
        <x:v>238055</x:v>
      </x:c>
      <x:c r="F53" s="5">
        <x:f t="shared" si="7"/>
        <x:v>2618618</x:v>
      </x:c>
      <x:c r="G53" s="6"/>
      <x:c r="H53" s="299"/>
      <x:c r="I53" s="3" t="s">
        <x:v>1119</x:v>
      </x:c>
      <x:c r="J53" s="3"/>
      <x:c r="K53" s="4"/>
      <x:c r="L53" s="4">
        <x:f t="shared" si="9"/>
        <x:v>0</x:v>
      </x:c>
      <x:c r="M53" s="5">
        <x:f t="shared" si="8"/>
        <x:v>0</x:v>
      </x:c>
      <x:c r="N53" s="6"/>
    </x:row>
    <x:row r="54" spans="1:14" ht="20.100000000000001" customHeight="1">
      <x:c r="A54" s="299"/>
      <x:c r="B54" s="3" t="s">
        <x:v>1182</x:v>
      </x:c>
      <x:c r="C54" s="3"/>
      <x:c r="D54" s="4"/>
      <x:c r="E54" s="4">
        <x:f t="shared" si="10"/>
        <x:v>0</x:v>
      </x:c>
      <x:c r="F54" s="5">
        <x:f t="shared" si="7"/>
        <x:v>0</x:v>
      </x:c>
      <x:c r="G54" s="6"/>
      <x:c r="H54" s="299"/>
      <x:c r="I54" s="3" t="s">
        <x:v>854</x:v>
      </x:c>
      <x:c r="J54" s="3" t="s">
        <x:v>765</x:v>
      </x:c>
      <x:c r="K54" s="4">
        <x:v>37627140</x:v>
      </x:c>
      <x:c r="L54" s="4">
        <x:f t="shared" si="9"/>
        <x:v>3762714</x:v>
      </x:c>
      <x:c r="M54" s="5">
        <x:f t="shared" si="8"/>
        <x:v>41389854</x:v>
      </x:c>
      <x:c r="N54" s="6"/>
    </x:row>
    <x:row r="55" spans="1:14" ht="20.100000000000001" customHeight="1">
      <x:c r="A55" s="299"/>
      <x:c r="B55" s="3" t="s">
        <x:v>1209</x:v>
      </x:c>
      <x:c r="C55" s="3" t="s">
        <x:v>1218</x:v>
      </x:c>
      <x:c r="D55" s="4">
        <x:v>72000000</x:v>
      </x:c>
      <x:c r="E55" s="4">
        <x:f>+INT(D55*0.1)</x:f>
        <x:v>7200000</x:v>
      </x:c>
      <x:c r="F55" s="5">
        <x:f>+D55+E55</x:f>
        <x:v>79200000</x:v>
      </x:c>
      <x:c r="G55" s="6"/>
      <x:c r="H55" s="299"/>
      <x:c r="I55" s="3" t="s">
        <x:v>1182</x:v>
      </x:c>
      <x:c r="J55" s="3" t="s">
        <x:v>245</x:v>
      </x:c>
      <x:c r="K55" s="4">
        <x:v>15000000</x:v>
      </x:c>
      <x:c r="L55" s="4">
        <x:f t="shared" si="9"/>
        <x:v>1500000</x:v>
      </x:c>
      <x:c r="M55" s="5">
        <x:f t="shared" si="8"/>
        <x:v>16500000</x:v>
      </x:c>
      <x:c r="N55" s="6"/>
    </x:row>
    <x:row r="56" spans="1:14" ht="20.100000000000001" customHeight="1">
      <x:c r="A56" s="299"/>
      <x:c r="B56" s="3" t="s">
        <x:v>1220</x:v>
      </x:c>
      <x:c r="C56" s="3" t="s">
        <x:v>1197</x:v>
      </x:c>
      <x:c r="D56" s="4">
        <x:v>8104000</x:v>
      </x:c>
      <x:c r="E56" s="4">
        <x:f>+INT(D56*0.1)</x:f>
        <x:v>810400</x:v>
      </x:c>
      <x:c r="F56" s="5">
        <x:f>+D56+E56</x:f>
        <x:v>8914400</x:v>
      </x:c>
      <x:c r="G56" s="6"/>
      <x:c r="H56" s="299"/>
      <x:c r="I56" s="3" t="s">
        <x:v>1201</x:v>
      </x:c>
      <x:c r="J56" s="3"/>
      <x:c r="K56" s="4"/>
      <x:c r="L56" s="4">
        <x:f t="shared" si="9"/>
        <x:v>0</x:v>
      </x:c>
      <x:c r="M56" s="5">
        <x:f t="shared" si="8"/>
        <x:v>0</x:v>
      </x:c>
      <x:c r="N56" s="6"/>
    </x:row>
    <x:row r="57" spans="1:14" ht="20.100000000000001" customHeight="1">
      <x:c r="A57" s="299"/>
      <x:c r="B57" s="3" t="s">
        <x:v>1039</x:v>
      </x:c>
      <x:c r="C57" s="3" t="s">
        <x:v>1064</x:v>
      </x:c>
      <x:c r="D57" s="4">
        <x:v>290000</x:v>
      </x:c>
      <x:c r="E57" s="4">
        <x:f>+INT(D57*0.1)</x:f>
        <x:v>29000</x:v>
      </x:c>
      <x:c r="F57" s="5">
        <x:f>+D57+E57</x:f>
        <x:v>319000</x:v>
      </x:c>
      <x:c r="G57" s="6"/>
      <x:c r="H57" s="299"/>
      <x:c r="I57" s="129" t="s">
        <x:v>766</x:v>
      </x:c>
      <x:c r="J57" s="129" t="s">
        <x:v>1258</x:v>
      </x:c>
      <x:c r="K57" s="130">
        <x:v>12301000</x:v>
      </x:c>
      <x:c r="L57" s="130">
        <x:f t="shared" si="9"/>
        <x:v>1230100</x:v>
      </x:c>
      <x:c r="M57" s="131">
        <x:f t="shared" si="8"/>
        <x:v>13531100</x:v>
      </x:c>
      <x:c r="N57" s="132"/>
    </x:row>
    <x:row r="58" spans="1:14" ht="20.100000000000001" customHeight="1">
      <x:c r="A58" s="300"/>
      <x:c r="B58" s="3"/>
      <x:c r="C58" s="3"/>
      <x:c r="D58" s="4"/>
      <x:c r="E58" s="4">
        <x:f t="shared" si="10"/>
        <x:v>0</x:v>
      </x:c>
      <x:c r="F58" s="5">
        <x:f t="shared" si="7"/>
        <x:v>0</x:v>
      </x:c>
      <x:c r="G58" s="6"/>
      <x:c r="H58" s="300"/>
      <x:c r="I58" s="122" t="s">
        <x:v>762</x:v>
      </x:c>
      <x:c r="J58" s="122" t="s">
        <x:v>759</x:v>
      </x:c>
      <x:c r="K58" s="123">
        <x:v>92999500</x:v>
      </x:c>
      <x:c r="L58" s="123">
        <x:f>+INT(K58*0.1)</x:f>
        <x:v>9299950</x:v>
      </x:c>
      <x:c r="M58" s="124">
        <x:f>+K58+L58</x:f>
        <x:v>102299450</x:v>
      </x:c>
      <x:c r="N58" s="125" t="s">
        <x:v>1225</x:v>
      </x:c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103553257</x:v>
      </x:c>
      <x:c r="E59" s="9">
        <x:f>SUM(E44:E58)</x:f>
        <x:v>10355323.6</x:v>
      </x:c>
      <x:c r="F59" s="10">
        <x:f>SUM(F44:F58)</x:f>
        <x:v>113908580.59999999</x:v>
      </x:c>
      <x:c r="G59" s="11"/>
      <x:c r="H59" s="7" t="s">
        <x:v>155</x:v>
      </x:c>
      <x:c r="I59" s="8"/>
      <x:c r="J59" s="8"/>
      <x:c r="K59" s="9">
        <x:f>SUM(K44:K58)</x:f>
        <x:v>184305890</x:v>
      </x:c>
      <x:c r="L59" s="9">
        <x:f>SUM(L44:L58)</x:f>
        <x:v>18430589</x:v>
      </x:c>
      <x:c r="M59" s="10">
        <x:f>SUM(M44:M58)</x:f>
        <x:v>202736479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39530000</x:v>
      </x:c>
      <x:c r="E60" s="44"/>
      <x:c r="F60" s="45">
        <x:f>+D60+E60</x:f>
        <x:v>39530000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34490000</x:v>
      </x:c>
      <x:c r="L60" s="44"/>
      <x:c r="M60" s="45">
        <x:f>+K60+L60</x:f>
        <x:v>34490000</x:v>
      </x:c>
      <x:c r="N60" s="37"/>
    </x:row>
    <x:row r="61" spans="1:14" ht="20.100000000000001" customHeight="1">
      <x:c r="A61" s="299"/>
      <x:c r="B61" s="3" t="s">
        <x:v>1180</x:v>
      </x:c>
      <x:c r="C61" s="3" t="s">
        <x:v>1192</x:v>
      </x:c>
      <x:c r="D61" s="4">
        <x:v>4000000</x:v>
      </x:c>
      <x:c r="E61" s="4">
        <x:f>+D61*0.1</x:f>
        <x:v>400000</x:v>
      </x:c>
      <x:c r="F61" s="5">
        <x:f>+D61+E61</x:f>
        <x:v>4400000</x:v>
      </x:c>
      <x:c r="G61" s="37"/>
      <x:c r="H61" s="299"/>
      <x:c r="I61" s="3"/>
      <x:c r="J61" s="3"/>
      <x:c r="K61" s="44"/>
      <x:c r="L61" s="44">
        <x:f>+K61*0.1</x:f>
        <x:v>0</x:v>
      </x:c>
      <x:c r="M61" s="45">
        <x:f>+K61+L61</x:f>
        <x:v>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43530000</x:v>
      </x:c>
      <x:c r="E64" s="9">
        <x:f>SUM(E60:E63)</x:f>
        <x:v>400000</x:v>
      </x:c>
      <x:c r="F64" s="10">
        <x:f>SUM(F60:F63)</x:f>
        <x:v>43930000</x:v>
      </x:c>
      <x:c r="G64" s="11"/>
      <x:c r="H64" s="7" t="s">
        <x:v>155</x:v>
      </x:c>
      <x:c r="I64" s="8"/>
      <x:c r="J64" s="8"/>
      <x:c r="K64" s="9">
        <x:f>SUM(K60:K63)</x:f>
        <x:v>34490000</x:v>
      </x:c>
      <x:c r="L64" s="9">
        <x:f>SUM(L60:L63)</x:f>
        <x:v>0</x:v>
      </x:c>
      <x:c r="M64" s="10">
        <x:f>SUM(M60:M63)</x:f>
        <x:v>34490000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/>
      <x:c r="L65" s="4">
        <x:f>+K65*0.1</x:f>
        <x:v>0</x:v>
      </x:c>
      <x:c r="M65" s="5">
        <x:f>+K65+L65</x:f>
        <x:v>0</x:v>
      </x:c>
      <x:c r="N65" s="6"/>
    </x:row>
    <x:row r="66" spans="1:14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300000</x:v>
      </x:c>
      <x:c r="E69" s="9">
        <x:f>SUM(E65:E68)</x:f>
        <x:v>30000</x:v>
      </x:c>
      <x:c r="F69" s="10">
        <x:f>SUM(F65:F68)</x:f>
        <x:v>330000</x:v>
      </x:c>
      <x:c r="G69" s="11"/>
      <x:c r="H69" s="7" t="s">
        <x:v>155</x:v>
      </x:c>
      <x:c r="I69" s="8"/>
      <x:c r="J69" s="8"/>
      <x:c r="K69" s="9">
        <x:f>SUM(K65:K68)</x:f>
        <x:v>0</x:v>
      </x:c>
      <x:c r="L69" s="9">
        <x:f>SUM(L65:L68)</x:f>
        <x:v>0</x:v>
      </x:c>
      <x:c r="M69" s="10">
        <x:f>SUM(M65:M68)</x:f>
        <x:v>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1719340</x:v>
      </x:c>
      <x:c r="E70" s="4"/>
      <x:c r="F70" s="5">
        <x:f t="shared" ref="F70:F79" si="11">+D70+E70</x:f>
        <x:v>1719340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1481900</x:v>
      </x:c>
      <x:c r="L70" s="4"/>
      <x:c r="M70" s="5">
        <x:f>+K70+L70</x:f>
        <x:v>1481900</x:v>
      </x:c>
      <x:c r="N70" s="6"/>
    </x:row>
    <x:row r="71" spans="1:14" ht="20.100000000000001" customHeight="1">
      <x:c r="A71" s="299"/>
      <x:c r="B71" s="3" t="s">
        <x:v>721</x:v>
      </x:c>
      <x:c r="C71" s="3" t="s">
        <x:v>167</x:v>
      </x:c>
      <x:c r="D71" s="4">
        <x:v>251000</x:v>
      </x:c>
      <x:c r="E71" s="4">
        <x:f>+D71*0.1</x:f>
        <x:v>25100</x:v>
      </x:c>
      <x:c r="F71" s="5">
        <x:f t="shared" si="11"/>
        <x:v>276100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D72*0.1</x:f>
        <x:v>10000</x:v>
      </x:c>
      <x:c r="F72" s="5">
        <x:f t="shared" si="11"/>
        <x:v>110000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1386000</x:v>
      </x:c>
      <x:c r="E73" s="4">
        <x:f>D73*0.1</x:f>
        <x:v>138600</x:v>
      </x:c>
      <x:c r="F73" s="5">
        <x:f t="shared" si="11"/>
        <x:v>1524600</x:v>
      </x:c>
      <x:c r="G73" s="6"/>
      <x:c r="H73" s="299"/>
      <x:c r="I73" s="3" t="s">
        <x:v>1061</x:v>
      </x:c>
      <x:c r="J73" s="3" t="s">
        <x:v>167</x:v>
      </x:c>
      <x:c r="K73" s="4">
        <x:v>38000</x:v>
      </x:c>
      <x:c r="L73" s="4">
        <x:f>+K73*0.1</x:f>
        <x:v>3800</x:v>
      </x:c>
      <x:c r="M73" s="5">
        <x:f>+K73+L73</x:f>
        <x:v>41800</x:v>
      </x:c>
      <x:c r="N73" s="6"/>
    </x:row>
    <x:row r="74" spans="1:14" ht="20.100000000000001" customHeight="1">
      <x:c r="A74" s="299"/>
      <x:c r="B74" s="3" t="s">
        <x:v>926</x:v>
      </x:c>
      <x:c r="C74" s="3" t="s">
        <x:v>927</x:v>
      </x:c>
      <x:c r="D74" s="4">
        <x:v>367870</x:v>
      </x:c>
      <x:c r="E74" s="4"/>
      <x:c r="F74" s="5">
        <x:f t="shared" si="11"/>
        <x:v>367870</x:v>
      </x:c>
      <x:c r="G74" s="6"/>
      <x:c r="H74" s="299"/>
      <x:c r="I74" s="3" t="s">
        <x:v>1047</x:v>
      </x:c>
      <x:c r="J74" s="3" t="s">
        <x:v>962</x:v>
      </x:c>
      <x:c r="K74" s="4">
        <x:v>1236000</x:v>
      </x:c>
      <x:c r="L74" s="4">
        <x:f>+K74*0.1</x:f>
        <x:v>123600</x:v>
      </x:c>
      <x:c r="M74" s="5">
        <x:f t="shared" ref="M74:M79" si="12">+K74+L74</x:f>
        <x:v>1359600</x:v>
      </x:c>
      <x:c r="N74" s="6"/>
    </x:row>
    <x:row r="75" spans="1:14" ht="20.100000000000001" customHeight="1">
      <x:c r="A75" s="299"/>
      <x:c r="B75" s="3" t="s">
        <x:v>1181</x:v>
      </x:c>
      <x:c r="C75" s="3" t="s">
        <x:v>817</x:v>
      </x:c>
      <x:c r="D75" s="4">
        <x:v>500000</x:v>
      </x:c>
      <x:c r="E75" s="4">
        <x:f>D75*0.1</x:f>
        <x:v>50000</x:v>
      </x:c>
      <x:c r="F75" s="5">
        <x:f t="shared" si="11"/>
        <x:v>550000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2"/>
        <x:v>110000</x:v>
      </x:c>
      <x:c r="N75" s="6"/>
    </x:row>
    <x:row r="76" spans="1:14" ht="20.100000000000001" customHeight="1">
      <x:c r="A76" s="299"/>
      <x:c r="B76" s="3" t="s">
        <x:v>247</x:v>
      </x:c>
      <x:c r="C76" s="3" t="s">
        <x:v>231</x:v>
      </x:c>
      <x:c r="D76" s="4">
        <x:v>20000</x:v>
      </x:c>
      <x:c r="E76" s="4">
        <x:f>+D76*0.1</x:f>
        <x:v>2000</x:v>
      </x:c>
      <x:c r="F76" s="5">
        <x:f t="shared" si="11"/>
        <x:v>22000</x:v>
      </x:c>
      <x:c r="G76" s="6"/>
      <x:c r="H76" s="299"/>
      <x:c r="I76" s="3" t="s">
        <x:v>247</x:v>
      </x:c>
      <x:c r="J76" s="3" t="s">
        <x:v>231</x:v>
      </x:c>
      <x:c r="K76" s="4">
        <x:v>21000</x:v>
      </x:c>
      <x:c r="L76" s="4">
        <x:f>+K76*0.1</x:f>
        <x:v>2100</x:v>
      </x:c>
      <x:c r="M76" s="5">
        <x:f t="shared" si="12"/>
        <x:v>23100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11"/>
        <x:v>0</x:v>
      </x:c>
      <x:c r="G77" s="6"/>
      <x:c r="H77" s="299"/>
      <x:c r="I77" s="3"/>
      <x:c r="J77" s="3"/>
      <x:c r="K77" s="4"/>
      <x:c r="L77" s="4"/>
      <x:c r="M77" s="5">
        <x:f t="shared" si="12"/>
        <x:v>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1"/>
        <x:v>0</x:v>
      </x:c>
      <x:c r="G78" s="6"/>
      <x:c r="H78" s="299"/>
      <x:c r="I78" s="3"/>
      <x:c r="J78" s="3"/>
      <x:c r="K78" s="4"/>
      <x:c r="L78" s="4"/>
      <x:c r="M78" s="5">
        <x:f t="shared" si="12"/>
        <x:v>0</x:v>
      </x:c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11"/>
        <x:v>0</x:v>
      </x:c>
      <x:c r="G79" s="6"/>
      <x:c r="H79" s="300"/>
      <x:c r="I79" s="3"/>
      <x:c r="J79" s="3"/>
      <x:c r="K79" s="4"/>
      <x:c r="L79" s="4"/>
      <x:c r="M79" s="5">
        <x:f t="shared" si="12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4344210</x:v>
      </x:c>
      <x:c r="E80" s="9">
        <x:f>SUM(E70:E79)</x:f>
        <x:v>225700</x:v>
      </x:c>
      <x:c r="F80" s="10">
        <x:f>SUM(F70:F79)</x:f>
        <x:v>4569910</x:v>
      </x:c>
      <x:c r="G80" s="11"/>
      <x:c r="H80" s="7" t="s">
        <x:v>155</x:v>
      </x:c>
      <x:c r="I80" s="8"/>
      <x:c r="J80" s="8"/>
      <x:c r="K80" s="9">
        <x:f>SUM(K70:K79)</x:f>
        <x:v>3424900</x:v>
      </x:c>
      <x:c r="L80" s="9">
        <x:f>SUM(L70:L79)</x:f>
        <x:v>189500</x:v>
      </x:c>
      <x:c r="M80" s="10">
        <x:f>SUM(M70:M79)</x:f>
        <x:v>3614400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151727467</x:v>
      </x:c>
      <x:c r="E81" s="14">
        <x:f>+E59+E64+E69+E80</x:f>
        <x:v>11011023.6</x:v>
      </x:c>
      <x:c r="F81" s="15">
        <x:f>+F59+F64+F69+F80</x:f>
        <x:v>162738490.59999999</x:v>
      </x:c>
      <x:c r="G81" s="16"/>
      <x:c r="H81" s="12"/>
      <x:c r="I81" s="13"/>
      <x:c r="J81" s="13"/>
      <x:c r="K81" s="14">
        <x:f>+K59+K64+K69+K80</x:f>
        <x:v>222220790</x:v>
      </x:c>
      <x:c r="L81" s="14">
        <x:f>+L59+L64+L69+L80</x:f>
        <x:v>18620089</x:v>
      </x:c>
      <x:c r="M81" s="15">
        <x:f>+M59+M64+M69+M80</x:f>
        <x:v>240840879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178830422</x:v>
      </x:c>
      <x:c r="E82" s="25">
        <x:f>+E43-E81</x:f>
        <x:v>13431087.4</x:v>
      </x:c>
      <x:c r="F82" s="26">
        <x:f>+F43-F81</x:f>
        <x:v>192261509.40000001</x:v>
      </x:c>
      <x:c r="G82" s="27"/>
      <x:c r="H82" s="23"/>
      <x:c r="I82" s="24"/>
      <x:c r="J82" s="24"/>
      <x:c r="K82" s="25">
        <x:f>+K43-K81</x:f>
        <x:v>116572102</x:v>
      </x:c>
      <x:c r="L82" s="25">
        <x:f>+L43-L81</x:f>
        <x:v>5532019</x:v>
      </x:c>
      <x:c r="M82" s="26">
        <x:f>+M43-M81</x:f>
        <x:v>122104121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28" t="s">
        <x:v>144</x:v>
      </x:c>
      <x:c r="C84" s="128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28" t="s">
        <x:v>144</x:v>
      </x:c>
      <x:c r="J84" s="128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f>158611515+216855000</x:f>
        <x:v>375466515</x:v>
      </x:c>
      <x:c r="E85" s="39">
        <x:f>1388485+21685500</x:f>
        <x:v>23073985</x:v>
      </x:c>
      <x:c r="F85" s="40">
        <x:f>+D85+E85</x:f>
        <x:v>398540500</x:v>
      </x:c>
      <x:c r="G85" s="42" t="s">
        <x:v>1214</x:v>
      </x:c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1116</x:v>
      </x:c>
      <x:c r="D86" s="20">
        <x:v>218590</x:v>
      </x:c>
      <x:c r="E86" s="20">
        <x:f>+D86*0.1</x:f>
        <x:v>21859</x:v>
      </x:c>
      <x:c r="F86" s="21">
        <x:f t="shared" ref="F86:F91" si="13">+D86+E86</x:f>
        <x:v>240449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4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>
        <x:v>68808121</x:v>
      </x:c>
      <x:c r="E87" s="4">
        <x:f>D87*0.1</x:f>
        <x:v>6880812.1000000006</x:v>
      </x:c>
      <x:c r="F87" s="5">
        <x:f t="shared" si="13"/>
        <x:v>75688933.099999994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4"/>
        <x:v>0</x:v>
      </x:c>
      <x:c r="N87" s="6"/>
    </x:row>
    <x:row r="88" spans="1:14" ht="20.100000000000001" customHeight="1">
      <x:c r="A88" s="299"/>
      <x:c r="B88" s="3" t="s">
        <x:v>840</x:v>
      </x:c>
      <x:c r="C88" s="3"/>
      <x:c r="D88" s="4"/>
      <x:c r="E88" s="4">
        <x:f t="shared" ref="E88:E93" si="15">+D88*0.1</x:f>
        <x:v>0</x:v>
      </x:c>
      <x:c r="F88" s="5">
        <x:f t="shared" si="13"/>
        <x:v>0</x:v>
      </x:c>
      <x:c r="G88" s="6"/>
      <x:c r="H88" s="299"/>
      <x:c r="I88" s="3"/>
      <x:c r="J88" s="3"/>
      <x:c r="K88" s="4"/>
      <x:c r="L88" s="4">
        <x:f t="shared" ref="L88:L100" si="16">+K88*0.1</x:f>
        <x:v>0</x:v>
      </x:c>
      <x:c r="M88" s="5">
        <x:f t="shared" si="14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768</x:v>
      </x:c>
      <x:c r="D89" s="4">
        <x:v>1683700</x:v>
      </x:c>
      <x:c r="E89" s="4">
        <x:f t="shared" si="15"/>
        <x:v>168370</x:v>
      </x:c>
      <x:c r="F89" s="5">
        <x:f t="shared" si="13"/>
        <x:v>1852070</x:v>
      </x:c>
      <x:c r="G89" s="6"/>
      <x:c r="H89" s="299"/>
      <x:c r="I89" s="3"/>
      <x:c r="J89" s="3"/>
      <x:c r="K89" s="4"/>
      <x:c r="L89" s="4">
        <x:f t="shared" si="16"/>
        <x:v>0</x:v>
      </x:c>
      <x:c r="M89" s="5">
        <x:f t="shared" si="14"/>
        <x:v>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si="15"/>
        <x:v>0</x:v>
      </x:c>
      <x:c r="F90" s="5">
        <x:f t="shared" si="13"/>
        <x:v>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 t="s">
        <x:v>967</x:v>
      </x:c>
      <x:c r="C91" s="3" t="s">
        <x:v>207</x:v>
      </x:c>
      <x:c r="D91" s="4">
        <x:v>6407100</x:v>
      </x:c>
      <x:c r="E91" s="4">
        <x:f t="shared" si="15"/>
        <x:v>640710</x:v>
      </x:c>
      <x:c r="F91" s="5">
        <x:f t="shared" si="13"/>
        <x:v>7047810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 t="s">
        <x:v>1705</x:v>
      </x:c>
      <x:c r="C92" s="3"/>
      <x:c r="D92" s="4"/>
      <x:c r="E92" s="4">
        <x:f t="shared" si="15"/>
        <x:v>0</x:v>
      </x:c>
      <x:c r="F92" s="5">
        <x:f>+D92+E92</x:f>
        <x:v>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/>
      <x:c r="D93" s="4"/>
      <x:c r="E93" s="4">
        <x:f t="shared" si="15"/>
        <x:v>0</x:v>
      </x:c>
      <x:c r="F93" s="5">
        <x:f>+D93+E93</x:f>
        <x:v>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854</x:v>
      </x:c>
      <x:c r="C94" s="3" t="s">
        <x:v>760</x:v>
      </x:c>
      <x:c r="D94" s="4">
        <x:v>13326260</x:v>
      </x:c>
      <x:c r="E94" s="4">
        <x:f t="shared" ref="E94:E100" si="17">+D94*0.1</x:f>
        <x:v>1332626</x:v>
      </x:c>
      <x:c r="F94" s="5">
        <x:f t="shared" ref="F94:F100" si="18">+D94+E94</x:f>
        <x:v>14658886</x:v>
      </x:c>
      <x:c r="G94" s="6"/>
      <x:c r="H94" s="299"/>
      <x:c r="I94" s="3"/>
      <x:c r="J94" s="3"/>
      <x:c r="K94" s="4"/>
      <x:c r="L94" s="4">
        <x:f t="shared" si="16"/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1222</x:v>
      </x:c>
      <x:c r="D95" s="4">
        <x:v>1470490</x:v>
      </x:c>
      <x:c r="E95" s="4">
        <x:f t="shared" si="17"/>
        <x:v>147049</x:v>
      </x:c>
      <x:c r="F95" s="5">
        <x:f t="shared" si="18"/>
        <x:v>1617539</x:v>
      </x:c>
      <x:c r="G95" s="6"/>
      <x:c r="H95" s="299"/>
      <x:c r="I95" s="3"/>
      <x:c r="J95" s="3"/>
      <x:c r="K95" s="4"/>
      <x:c r="L95" s="4">
        <x:f t="shared" si="16"/>
        <x:v>0</x:v>
      </x:c>
      <x:c r="M95" s="5">
        <x:f t="shared" si="14"/>
        <x:v>0</x:v>
      </x:c>
      <x:c r="N95" s="6"/>
    </x:row>
    <x:row r="96" spans="1:14" ht="20.100000000000001" customHeight="1">
      <x:c r="A96" s="299"/>
      <x:c r="B96" s="3" t="s">
        <x:v>1201</x:v>
      </x:c>
      <x:c r="C96" s="3"/>
      <x:c r="D96" s="4"/>
      <x:c r="E96" s="4">
        <x:f>+INT(D96*0.1)</x:f>
        <x:v>0</x:v>
      </x:c>
      <x:c r="F96" s="5">
        <x:f t="shared" si="18"/>
        <x:v>0</x:v>
      </x:c>
      <x:c r="G96" s="6"/>
      <x:c r="H96" s="299"/>
      <x:c r="I96" s="3"/>
      <x:c r="J96" s="3"/>
      <x:c r="K96" s="4"/>
      <x:c r="L96" s="4">
        <x:f t="shared" si="16"/>
        <x:v>0</x:v>
      </x:c>
      <x:c r="M96" s="5">
        <x:f t="shared" si="14"/>
        <x:v>0</x:v>
      </x:c>
      <x:c r="N96" s="6"/>
    </x:row>
    <x:row r="97" spans="1:14" ht="20.100000000000001" customHeight="1">
      <x:c r="A97" s="299"/>
      <x:c r="B97" s="129" t="s">
        <x:v>766</x:v>
      </x:c>
      <x:c r="C97" s="129" t="s">
        <x:v>1258</x:v>
      </x:c>
      <x:c r="D97" s="4">
        <x:v>8099000</x:v>
      </x:c>
      <x:c r="E97" s="4">
        <x:f>+D97*0.1</x:f>
        <x:v>809900</x:v>
      </x:c>
      <x:c r="F97" s="5">
        <x:f>+D97+E97</x:f>
        <x:v>8908900</x:v>
      </x:c>
      <x:c r="G97" s="6"/>
      <x:c r="H97" s="299"/>
      <x:c r="I97" s="3"/>
      <x:c r="J97" s="3"/>
      <x:c r="K97" s="4"/>
      <x:c r="L97" s="4">
        <x:f t="shared" si="16"/>
        <x:v>0</x:v>
      </x:c>
      <x:c r="M97" s="5">
        <x:f t="shared" si="14"/>
        <x:v>0</x:v>
      </x:c>
      <x:c r="N97" s="6"/>
    </x:row>
    <x:row r="98" spans="1:14" ht="20.100000000000001" customHeight="1">
      <x:c r="A98" s="299"/>
      <x:c r="B98" s="122" t="s">
        <x:v>762</x:v>
      </x:c>
      <x:c r="C98" s="122" t="s">
        <x:v>759</x:v>
      </x:c>
      <x:c r="D98" s="123">
        <x:v>56166000</x:v>
      </x:c>
      <x:c r="E98" s="123">
        <x:f>+INT(D98*0.1)</x:f>
        <x:v>5616600</x:v>
      </x:c>
      <x:c r="F98" s="124">
        <x:f>+D98+E98</x:f>
        <x:v>61782600</x:v>
      </x:c>
      <x:c r="G98" s="125" t="s">
        <x:v>1225</x:v>
      </x:c>
      <x:c r="H98" s="299"/>
      <x:c r="I98" s="3"/>
      <x:c r="J98" s="3"/>
      <x:c r="K98" s="4"/>
      <x:c r="L98" s="4">
        <x:f t="shared" si="16"/>
        <x:v>0</x:v>
      </x:c>
      <x:c r="M98" s="5">
        <x:f t="shared" si="14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 t="shared" si="17"/>
        <x:v>0</x:v>
      </x:c>
      <x:c r="F99" s="5">
        <x:f t="shared" si="18"/>
        <x:v>0</x:v>
      </x:c>
      <x:c r="G99" s="6"/>
      <x:c r="H99" s="299"/>
      <x:c r="I99" s="3"/>
      <x:c r="J99" s="3"/>
      <x:c r="K99" s="4"/>
      <x:c r="L99" s="4">
        <x:f t="shared" si="16"/>
        <x:v>0</x:v>
      </x:c>
      <x:c r="M99" s="5">
        <x:f t="shared" si="14"/>
        <x:v>0</x:v>
      </x:c>
      <x:c r="N99" s="6"/>
    </x:row>
    <x:row r="100" spans="1:14" ht="20.100000000000001" customHeight="1">
      <x:c r="A100" s="300"/>
      <x:c r="B100" s="3"/>
      <x:c r="C100" s="3"/>
      <x:c r="D100" s="4"/>
      <x:c r="E100" s="4">
        <x:f t="shared" si="17"/>
        <x:v>0</x:v>
      </x:c>
      <x:c r="F100" s="5">
        <x:f t="shared" si="18"/>
        <x:v>0</x:v>
      </x:c>
      <x:c r="G100" s="6"/>
      <x:c r="H100" s="300"/>
      <x:c r="I100" s="3"/>
      <x:c r="J100" s="3"/>
      <x:c r="K100" s="4"/>
      <x:c r="L100" s="4">
        <x:f t="shared" si="16"/>
        <x:v>0</x:v>
      </x:c>
      <x:c r="M100" s="5">
        <x:f t="shared" si="14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156179261</x:v>
      </x:c>
      <x:c r="E101" s="9">
        <x:f>SUM(E86:E100)</x:f>
        <x:v>15617926.100000001</x:v>
      </x:c>
      <x:c r="F101" s="10">
        <x:f>SUM(F86:F100)</x:f>
        <x:v>171797187.09999999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27400000</x:v>
      </x:c>
      <x:c r="E102" s="4"/>
      <x:c r="F102" s="5">
        <x:f>+D102+E102</x:f>
        <x:v>27400000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/>
      <x:c r="C103" s="3"/>
      <x:c r="D103" s="4"/>
      <x:c r="E103" s="4"/>
      <x:c r="F103" s="5">
        <x:f>+D103+E103</x:f>
        <x:v>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27400000</x:v>
      </x:c>
      <x:c r="E106" s="9">
        <x:f>SUM(E102:E105)</x:f>
        <x:v>0</x:v>
      </x:c>
      <x:c r="F106" s="10">
        <x:f>SUM(F102:F105)</x:f>
        <x:v>27400000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0</x:v>
      </x:c>
      <x:c r="E111" s="9">
        <x:f>SUM(E107:E110)</x:f>
        <x:v>0</x:v>
      </x:c>
      <x:c r="F111" s="10">
        <x:f>SUM(F107:F110)</x:f>
        <x:v>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968540</x:v>
      </x:c>
      <x:c r="E112" s="4"/>
      <x:c r="F112" s="5">
        <x:f t="shared" ref="F112:F117" si="19">+D112+E112</x:f>
        <x:v>968540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 t="s">
        <x:v>1780</x:v>
      </x:c>
      <x:c r="D113" s="4">
        <x:v>100000</x:v>
      </x:c>
      <x:c r="E113" s="4">
        <x:f>+D113*0.1</x:f>
        <x:v>10000</x:v>
      </x:c>
      <x:c r="F113" s="5">
        <x:f t="shared" si="19"/>
        <x:v>110000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 t="shared" si="19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1122000</x:v>
      </x:c>
      <x:c r="E115" s="4">
        <x:f>+D115*0.1</x:f>
        <x:v>112200</x:v>
      </x:c>
      <x:c r="F115" s="5">
        <x:f t="shared" si="19"/>
        <x:v>1234200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90000</x:v>
      </x:c>
      <x:c r="E116" s="4">
        <x:f>+D116*0.1</x:f>
        <x:v>9000</x:v>
      </x:c>
      <x:c r="F116" s="5">
        <x:f t="shared" si="19"/>
        <x:v>99000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 t="s">
        <x:v>247</x:v>
      </x:c>
      <x:c r="C117" s="3" t="s">
        <x:v>231</x:v>
      </x:c>
      <x:c r="D117" s="4">
        <x:v>21000</x:v>
      </x:c>
      <x:c r="E117" s="4">
        <x:f>+D117*0.1</x:f>
        <x:v>2100</x:v>
      </x:c>
      <x:c r="F117" s="5">
        <x:f t="shared" si="19"/>
        <x:v>23100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2381540</x:v>
      </x:c>
      <x:c r="E122" s="9">
        <x:f>SUM(E112:E121)</x:f>
        <x:v>141300</x:v>
      </x:c>
      <x:c r="F122" s="10">
        <x:f>SUM(F112:F121)</x:f>
        <x:v>2522840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185960801</x:v>
      </x:c>
      <x:c r="E123" s="14">
        <x:f>+E101+E106+E111+E122</x:f>
        <x:v>15759226.100000001</x:v>
      </x:c>
      <x:c r="F123" s="15">
        <x:f>+F101+F106+F111+F122</x:f>
        <x:v>201720027.09999999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189505714</x:v>
      </x:c>
      <x:c r="E124" s="25">
        <x:f>+E85-E123</x:f>
        <x:v>7314758.8999999985</x:v>
      </x:c>
      <x:c r="F124" s="26">
        <x:f>+F85-F123</x:f>
        <x:v>196820472.90000001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28" t="s">
        <x:v>144</x:v>
      </x:c>
      <x:c r="C126" s="128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28" t="s">
        <x:v>144</x:v>
      </x:c>
      <x:c r="J126" s="128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27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20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20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1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20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1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20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1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20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1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20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1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2">+INT(D133*0.1)</x:f>
        <x:v>0</x:v>
      </x:c>
      <x:c r="F133" s="5">
        <x:f t="shared" si="20"/>
        <x:v>0</x:v>
      </x:c>
      <x:c r="G133" s="6"/>
      <x:c r="H133" s="299"/>
      <x:c r="I133" s="3"/>
      <x:c r="J133" s="3"/>
      <x:c r="K133" s="4"/>
      <x:c r="L133" s="4">
        <x:f t="shared" ref="L133:L142" si="23">+K133*0.1</x:f>
        <x:v>0</x:v>
      </x:c>
      <x:c r="M133" s="5">
        <x:f t="shared" si="21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2"/>
        <x:v>0</x:v>
      </x:c>
      <x:c r="F134" s="5">
        <x:f t="shared" si="20"/>
        <x:v>0</x:v>
      </x:c>
      <x:c r="G134" s="6"/>
      <x:c r="H134" s="299"/>
      <x:c r="I134" s="3"/>
      <x:c r="J134" s="3"/>
      <x:c r="K134" s="4"/>
      <x:c r="L134" s="4">
        <x:f t="shared" si="23"/>
        <x:v>0</x:v>
      </x:c>
      <x:c r="M134" s="5">
        <x:f t="shared" si="21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2"/>
        <x:v>0</x:v>
      </x:c>
      <x:c r="F135" s="5">
        <x:f t="shared" si="20"/>
        <x:v>0</x:v>
      </x:c>
      <x:c r="G135" s="6"/>
      <x:c r="H135" s="299"/>
      <x:c r="I135" s="3"/>
      <x:c r="J135" s="3"/>
      <x:c r="K135" s="4"/>
      <x:c r="L135" s="4">
        <x:f t="shared" si="23"/>
        <x:v>0</x:v>
      </x:c>
      <x:c r="M135" s="5">
        <x:f t="shared" si="21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2"/>
        <x:v>0</x:v>
      </x:c>
      <x:c r="F136" s="5">
        <x:f t="shared" si="20"/>
        <x:v>0</x:v>
      </x:c>
      <x:c r="G136" s="6"/>
      <x:c r="H136" s="299"/>
      <x:c r="I136" s="3"/>
      <x:c r="J136" s="3"/>
      <x:c r="K136" s="4"/>
      <x:c r="L136" s="4">
        <x:f t="shared" si="23"/>
        <x:v>0</x:v>
      </x:c>
      <x:c r="M136" s="5">
        <x:f t="shared" si="21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2"/>
        <x:v>0</x:v>
      </x:c>
      <x:c r="F137" s="5">
        <x:f t="shared" si="20"/>
        <x:v>0</x:v>
      </x:c>
      <x:c r="G137" s="6"/>
      <x:c r="H137" s="299"/>
      <x:c r="I137" s="3"/>
      <x:c r="J137" s="3"/>
      <x:c r="K137" s="4"/>
      <x:c r="L137" s="4">
        <x:f t="shared" si="23"/>
        <x:v>0</x:v>
      </x:c>
      <x:c r="M137" s="5">
        <x:f t="shared" si="21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2"/>
        <x:v>0</x:v>
      </x:c>
      <x:c r="F138" s="5">
        <x:f t="shared" si="20"/>
        <x:v>0</x:v>
      </x:c>
      <x:c r="G138" s="6"/>
      <x:c r="H138" s="299"/>
      <x:c r="I138" s="3"/>
      <x:c r="J138" s="3"/>
      <x:c r="K138" s="4"/>
      <x:c r="L138" s="4">
        <x:f t="shared" si="23"/>
        <x:v>0</x:v>
      </x:c>
      <x:c r="M138" s="5">
        <x:f t="shared" si="21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2"/>
        <x:v>0</x:v>
      </x:c>
      <x:c r="F139" s="5">
        <x:f t="shared" si="20"/>
        <x:v>0</x:v>
      </x:c>
      <x:c r="G139" s="6"/>
      <x:c r="H139" s="299"/>
      <x:c r="I139" s="3"/>
      <x:c r="J139" s="3"/>
      <x:c r="K139" s="4"/>
      <x:c r="L139" s="4">
        <x:f t="shared" si="23"/>
        <x:v>0</x:v>
      </x:c>
      <x:c r="M139" s="5">
        <x:f t="shared" si="21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2"/>
        <x:v>0</x:v>
      </x:c>
      <x:c r="F140" s="5">
        <x:f t="shared" si="20"/>
        <x:v>0</x:v>
      </x:c>
      <x:c r="G140" s="6"/>
      <x:c r="H140" s="299"/>
      <x:c r="I140" s="3"/>
      <x:c r="J140" s="3"/>
      <x:c r="K140" s="4"/>
      <x:c r="L140" s="4">
        <x:f t="shared" si="23"/>
        <x:v>0</x:v>
      </x:c>
      <x:c r="M140" s="5">
        <x:f t="shared" si="21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2"/>
        <x:v>0</x:v>
      </x:c>
      <x:c r="F141" s="5">
        <x:f t="shared" si="20"/>
        <x:v>0</x:v>
      </x:c>
      <x:c r="G141" s="6"/>
      <x:c r="H141" s="299"/>
      <x:c r="I141" s="3"/>
      <x:c r="J141" s="3"/>
      <x:c r="K141" s="4"/>
      <x:c r="L141" s="4">
        <x:f t="shared" si="23"/>
        <x:v>0</x:v>
      </x:c>
      <x:c r="M141" s="5">
        <x:f t="shared" si="21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3"/>
        <x:v>0</x:v>
      </x:c>
      <x:c r="M142" s="5">
        <x:f t="shared" si="21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4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4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4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5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4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5"/>
        <x:v>0</x:v>
      </x:c>
      <x:c r="G158" s="6"/>
      <x:c r="H158" s="299"/>
      <x:c r="I158" s="3"/>
      <x:c r="J158" s="3"/>
      <x:c r="K158" s="4"/>
      <x:c r="L158" s="4">
        <x:f t="shared" ref="L158:L163" si="26">+K158*0.1</x:f>
        <x:v>0</x:v>
      </x:c>
      <x:c r="M158" s="5">
        <x:f t="shared" si="24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5"/>
        <x:v>0</x:v>
      </x:c>
      <x:c r="G159" s="6"/>
      <x:c r="H159" s="299"/>
      <x:c r="I159" s="3"/>
      <x:c r="J159" s="3"/>
      <x:c r="K159" s="4"/>
      <x:c r="L159" s="4">
        <x:f t="shared" si="26"/>
        <x:v>0</x:v>
      </x:c>
      <x:c r="M159" s="5">
        <x:f t="shared" si="24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5"/>
        <x:v>0</x:v>
      </x:c>
      <x:c r="G160" s="6"/>
      <x:c r="H160" s="299"/>
      <x:c r="I160" s="3"/>
      <x:c r="J160" s="3"/>
      <x:c r="K160" s="4"/>
      <x:c r="L160" s="4">
        <x:f t="shared" si="26"/>
        <x:v>0</x:v>
      </x:c>
      <x:c r="M160" s="5">
        <x:f t="shared" si="24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5"/>
        <x:v>0</x:v>
      </x:c>
      <x:c r="G161" s="6"/>
      <x:c r="H161" s="299"/>
      <x:c r="I161" s="3"/>
      <x:c r="J161" s="3"/>
      <x:c r="K161" s="4"/>
      <x:c r="L161" s="4">
        <x:f t="shared" si="26"/>
        <x:v>0</x:v>
      </x:c>
      <x:c r="M161" s="5">
        <x:f t="shared" si="24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5"/>
        <x:v>0</x:v>
      </x:c>
      <x:c r="G162" s="6"/>
      <x:c r="H162" s="299"/>
      <x:c r="I162" s="3"/>
      <x:c r="J162" s="3"/>
      <x:c r="K162" s="4"/>
      <x:c r="L162" s="4">
        <x:f t="shared" si="26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5"/>
        <x:v>0</x:v>
      </x:c>
      <x:c r="G163" s="6"/>
      <x:c r="H163" s="300"/>
      <x:c r="I163" s="3"/>
      <x:c r="J163" s="3"/>
      <x:c r="K163" s="4"/>
      <x:c r="L163" s="4">
        <x:f t="shared" si="26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260328018</x:v>
      </x:c>
      <x:c r="E169" s="2">
        <x:f>+E17+E59+E101+E143</x:f>
        <x:v>26032799.700000003</x:v>
      </x:c>
      <x:c r="F169" s="2">
        <x:f>+F17+F59+F101+F143</x:f>
        <x:v>286360817.69999999</x:v>
      </x:c>
      <x:c r="K169" s="2">
        <x:f>+K17+K59+K101+K143</x:f>
        <x:v>204176720</x:v>
      </x:c>
      <x:c r="L169" s="2">
        <x:f>+L17+L59+L101+L143</x:f>
        <x:v>20417672</x:v>
      </x:c>
      <x:c r="M169" s="2">
        <x:f>+M17+M59+M101+M143</x:f>
        <x:v>224594392</x:v>
      </x:c>
    </x:row>
    <x:row r="170" spans="1:13">
      <x:c r="A170" s="1" t="s">
        <x:v>153</x:v>
      </x:c>
      <x:c r="D170" s="2">
        <x:f>+D22+D64+D106+D148</x:f>
        <x:v>90970000</x:v>
      </x:c>
      <x:c r="E170" s="2">
        <x:f>+E22+E64+E106+E148</x:f>
        <x:v>400000</x:v>
      </x:c>
      <x:c r="F170" s="2">
        <x:f>+F22+F64+F106+F148</x:f>
        <x:v>91370000</x:v>
      </x:c>
      <x:c r="K170" s="2">
        <x:f>+K22+K64+K106+K148</x:f>
        <x:v>66824800</x:v>
      </x:c>
      <x:c r="L170" s="2">
        <x:f>+L22+L64+L106+L148</x:f>
        <x:v>303480</x:v>
      </x:c>
      <x:c r="M170" s="2">
        <x:f>+M22+M64+M106+M148</x:f>
        <x:v>67128280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300000</x:v>
      </x:c>
      <x:c r="E171" s="2">
        <x:f>+E27+E69+E111+E153</x:f>
        <x:v>30000</x:v>
      </x:c>
      <x:c r="F171" s="2">
        <x:f>+F27+F69+F111+F153</x:f>
        <x:v>330000</x:v>
      </x:c>
      <x:c r="H171" s="1"/>
      <x:c r="I171" s="1"/>
      <x:c r="J171" s="1"/>
      <x:c r="K171" s="2">
        <x:f>+K27+K69+K111+K153</x:f>
        <x:v>700000</x:v>
      </x:c>
      <x:c r="L171" s="2">
        <x:f>+L27+L69+L111+L153</x:f>
        <x:v>70000</x:v>
      </x:c>
      <x:c r="M171" s="2">
        <x:f>+M27+M69+M111+M153</x:f>
        <x:v>770000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10566606</x:v>
      </x:c>
      <x:c r="E172" s="2">
        <x:f>+E38+E80+E122+E164</x:f>
        <x:v>478654</x:v>
      </x:c>
      <x:c r="F172" s="2">
        <x:f>+F38+F80+F122+F164</x:f>
        <x:v>11045260</x:v>
      </x:c>
      <x:c r="H172" s="1"/>
      <x:c r="I172" s="1"/>
      <x:c r="J172" s="1"/>
      <x:c r="K172" s="2">
        <x:f>+K38+K80+K122+K164</x:f>
        <x:v>5650843</x:v>
      </x:c>
      <x:c r="L172" s="2">
        <x:f>+L38+L80+L122+L164</x:f>
        <x:v>329737.29999999999</x:v>
      </x:c>
      <x:c r="M172" s="2">
        <x:f>+M38+M80+M122+M164</x:f>
        <x:v>5980580.2999999998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362164624</x:v>
      </x:c>
      <x:c r="E173" s="2">
        <x:f>SUM(E169:E172)</x:f>
        <x:v>26941453.700000003</x:v>
      </x:c>
      <x:c r="F173" s="2">
        <x:f>SUM(F169:F172)</x:f>
        <x:v>389106077.69999999</x:v>
      </x:c>
      <x:c r="H173" s="1"/>
      <x:c r="I173" s="1"/>
      <x:c r="J173" s="1"/>
      <x:c r="K173" s="2">
        <x:f>SUM(K169:K172)</x:f>
        <x:v>277352363</x:v>
      </x:c>
      <x:c r="L173" s="2">
        <x:f>SUM(L169:L172)</x:f>
        <x:v>21120889.300000001</x:v>
      </x:c>
      <x:c r="M173" s="2">
        <x:f>SUM(M169:M172)</x:f>
        <x:v>298473252.30000001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464504738</x:v>
      </x:c>
      <x:c r="E176" s="2">
        <x:f>+E169+L169</x:f>
        <x:v>46450471.700000003</x:v>
      </x:c>
      <x:c r="F176" s="2">
        <x:f>+F169+M169</x:f>
        <x:v>510955209.69999999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7">+D170+K170</x:f>
        <x:v>157794800</x:v>
      </x:c>
      <x:c r="E177" s="2">
        <x:f t="shared" si="27"/>
        <x:v>703480</x:v>
      </x:c>
      <x:c r="F177" s="2">
        <x:f t="shared" si="27"/>
        <x:v>158498280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7"/>
        <x:v>1000000</x:v>
      </x:c>
      <x:c r="E178" s="2">
        <x:f t="shared" si="27"/>
        <x:v>100000</x:v>
      </x:c>
      <x:c r="F178" s="2">
        <x:f t="shared" si="27"/>
        <x:v>1100000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7"/>
        <x:v>16217449</x:v>
      </x:c>
      <x:c r="E179" s="2">
        <x:f t="shared" si="27"/>
        <x:v>808391.30000000005</x:v>
      </x:c>
      <x:c r="F179" s="2">
        <x:f t="shared" si="27"/>
        <x:v>17025840.300000001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639516987</x:v>
      </x:c>
      <x:c r="E180" s="2">
        <x:f>SUM(E176:E179)</x:f>
        <x:v>48062343</x:v>
      </x:c>
      <x:c r="F180" s="2">
        <x:f>SUM(F176:F179)</x:f>
        <x:v>687579330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1248547296</x:v>
      </x:c>
      <x:c r="E181" s="2">
        <x:f>E4+E43+E85+L4+L43+L85</x:f>
        <x:v>72438204</x:v>
      </x:c>
      <x:c r="F181" s="2">
        <x:f>F4+F43+F85+M4+M43+M85</x:f>
        <x:v>1320985500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609030309</x:v>
      </x:c>
      <x:c r="E182" s="2">
        <x:f>+E181-E180</x:f>
        <x:v>24375861</x:v>
      </x:c>
      <x:c r="F182" s="2">
        <x:f>+F181-F180</x:f>
        <x:v>633406170</x:v>
      </x:c>
      <x:c r="H182" s="1"/>
      <x:c r="I182" s="1"/>
      <x:c r="J182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S112"/>
  <x:sheetViews>
    <x:sheetView view="pageBreakPreview" topLeftCell="A1" zoomScaleNormal="100" zoomScaleSheetLayoutView="100" workbookViewId="0">
      <x:selection activeCell="F9" activeCellId="0" sqref="F9:F9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1793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33"/>
      <x:c r="C2" s="133"/>
      <x:c r="D2" s="133"/>
      <x:c r="E2" s="133"/>
      <x:c r="F2" s="133"/>
      <x:c r="G2" s="133"/>
      <x:c r="H2" s="133"/>
      <x:c r="I2" s="133"/>
      <x:c r="J2" s="133"/>
      <x:c r="K2" s="133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35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634</x:v>
      </x:c>
      <x:c r="C5" s="63" t="s">
        <x:v>901</x:v>
      </x:c>
      <x:c r="D5" s="115" t="s">
        <x:v>97</x:v>
      </x:c>
      <x:c r="E5" s="74">
        <x:f>'20년10월(세부내역)'!D4</x:f>
        <x:v>0</x:v>
      </x:c>
      <x:c r="F5" s="67">
        <x:f>'20년10월(세부내역)'!D17</x:f>
        <x:v>0</x:v>
      </x:c>
      <x:c r="G5" s="67">
        <x:f>'20년10월(세부내역)'!D22</x:f>
        <x:v>18024500</x:v>
      </x:c>
      <x:c r="H5" s="67">
        <x:f>'20년10월(세부내역)'!D27</x:f>
        <x:v>0</x:v>
      </x:c>
      <x:c r="I5" s="67">
        <x:f>'20년10월(세부내역)'!D38</x:f>
        <x:v>2277366</x:v>
      </x:c>
      <x:c r="J5" s="75">
        <x:f>+SUM(F5:I5)</x:f>
        <x:v>20301866</x:v>
      </x:c>
      <x:c r="K5" s="76">
        <x:f>E5-J5</x:f>
        <x:v>-20301866</x:v>
      </x:c>
      <x:c r="L5" s="67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'20년10월(세부내역)'!K4</x:f>
        <x:v>59860000</x:v>
      </x:c>
      <x:c r="F6" s="59">
        <x:f>+'20년10월(세부내역)'!K17</x:f>
        <x:v>9883900</x:v>
      </x:c>
      <x:c r="G6" s="59">
        <x:f>'20년10월(세부내역)'!K22</x:f>
        <x:v>20290000</x:v>
      </x:c>
      <x:c r="H6" s="59">
        <x:f>'20년10월(세부내역)'!K27</x:f>
        <x:v>590000</x:v>
      </x:c>
      <x:c r="I6" s="59">
        <x:f>'20년10월(세부내역)'!K38</x:f>
        <x:v>2338545</x:v>
      </x:c>
      <x:c r="J6" s="75">
        <x:f>+SUM(F6:I6)</x:f>
        <x:v>33102445</x:v>
      </x:c>
      <x:c r="K6" s="9">
        <x:f>E6-J6</x:f>
        <x:v>26757555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114</x:v>
      </x:c>
      <x:c r="E7" s="74">
        <x:f>'20년10월(세부내역)'!D43</x:f>
        <x:v>118255921</x:v>
      </x:c>
      <x:c r="F7" s="59">
        <x:f>+'20년10월(세부내역)'!D59</x:f>
        <x:v>33092115</x:v>
      </x:c>
      <x:c r="G7" s="59">
        <x:f>'20년10월(세부내역)'!D64</x:f>
        <x:v>43220000</x:v>
      </x:c>
      <x:c r="H7" s="59">
        <x:f>'20년10월(세부내역)'!D69</x:f>
        <x:v>1200000</x:v>
      </x:c>
      <x:c r="I7" s="59">
        <x:f>'20년10월(세부내역)'!D80</x:f>
        <x:v>3008310</x:v>
      </x:c>
      <x:c r="J7" s="75">
        <x:f>+SUM(F7:I7)</x:f>
        <x:v>80520425</x:v>
      </x:c>
      <x:c r="K7" s="80">
        <x:f>E7-J7</x:f>
        <x:v>37735496</x:v>
      </x:c>
      <x:c r="L7" s="119"/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108</x:v>
      </x:c>
      <x:c r="E8" s="74">
        <x:f>'20년10월(세부내역)'!K43</x:f>
        <x:v>247370208</x:v>
      </x:c>
      <x:c r="F8" s="59">
        <x:f>'20년10월(세부내역)'!K59</x:f>
        <x:v>117723326</x:v>
      </x:c>
      <x:c r="G8" s="59">
        <x:f>'20년10월(세부내역)'!K64</x:f>
        <x:v>41980000</x:v>
      </x:c>
      <x:c r="H8" s="59">
        <x:f>'20년10월(세부내역)'!K69</x:f>
        <x:v>230000</x:v>
      </x:c>
      <x:c r="I8" s="59">
        <x:f>'20년10월(세부내역)'!K80</x:f>
        <x:v>3156180</x:v>
      </x:c>
      <x:c r="J8" s="75">
        <x:f>+SUM(F8:I8)</x:f>
        <x:v>163089506</x:v>
      </x:c>
      <x:c r="K8" s="80">
        <x:f>E8-J8</x:f>
        <x:v>84280702</x:v>
      </x:c>
      <x:c r="L8" s="119"/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101</x:v>
      </x:c>
      <x:c r="E9" s="74">
        <x:f>'20년10월(세부내역)'!D85</x:f>
        <x:v>128871856</x:v>
      </x:c>
      <x:c r="F9" s="59">
        <x:f>'20년10월(세부내역)'!D101</x:f>
        <x:v>53559350</x:v>
      </x:c>
      <x:c r="G9" s="59">
        <x:f>'20년10월(세부내역)'!D106</x:f>
        <x:v>30146000</x:v>
      </x:c>
      <x:c r="H9" s="59">
        <x:f>'20년10월(세부내역)'!D111</x:f>
        <x:v>360000</x:v>
      </x:c>
      <x:c r="I9" s="59">
        <x:f>'20년10월(세부내역)'!D122</x:f>
        <x:v>1357960</x:v>
      </x:c>
      <x:c r="J9" s="75">
        <x:f>+SUM(F9:I9)</x:f>
        <x:v>85423310</x:v>
      </x:c>
      <x:c r="K9" s="80">
        <x:f>E9-J9</x:f>
        <x:v>43448546</x:v>
      </x:c>
      <x:c r="L9" s="119"/>
    </x:row>
    <x:row r="10" spans="1:12" ht="30" customHeight="1">
      <x:c r="A10" s="64"/>
      <x:c r="B10" s="64" t="s">
        <x:v>1690</x:v>
      </x:c>
      <x:c r="C10" s="64"/>
      <x:c r="D10" s="64"/>
      <x:c r="E10" s="68">
        <x:f t="shared" ref="E10:K10" si="0">SUM(E5:E9)</x:f>
        <x:v>554357985</x:v>
      </x:c>
      <x:c r="F10" s="66">
        <x:f t="shared" si="0"/>
        <x:v>214258691</x:v>
      </x:c>
      <x:c r="G10" s="66">
        <x:f t="shared" si="0"/>
        <x:v>153660500</x:v>
      </x:c>
      <x:c r="H10" s="66">
        <x:f t="shared" si="0"/>
        <x:v>2380000</x:v>
      </x:c>
      <x:c r="I10" s="66">
        <x:f t="shared" si="0"/>
        <x:v>12138361</x:v>
      </x:c>
      <x:c r="J10" s="69">
        <x:f t="shared" si="0"/>
        <x:v>382437552</x:v>
      </x:c>
      <x:c r="K10" s="121">
        <x:f t="shared" si="0"/>
        <x:v>171920433</x:v>
      </x:c>
      <x:c r="L10" s="66"/>
    </x:row>
    <x:row r="22" spans="1:19" s="2" customFormat="1">
      <x:c r="A22" s="1"/>
      <x:c r="B22" s="1"/>
      <x:c r="C22" s="1"/>
      <x:c r="D22" s="1"/>
      <x:c r="E22" s="1"/>
      <x:c r="J22" s="1"/>
      <x:c r="K22" s="1"/>
      <x:c r="M22" s="1"/>
      <x:c r="N22" s="1"/>
      <x:c r="O22" s="1"/>
      <x:c r="P22" s="1"/>
      <x:c r="Q22" s="1"/>
      <x:c r="R22" s="1"/>
      <x:c r="S22" s="1"/>
    </x:row>
    <x:row r="112" spans="4:4">
      <x:c r="D112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N182"/>
  <x:sheetViews>
    <x:sheetView view="pageBreakPreview" topLeftCell="A49" zoomScaleNormal="100" zoomScaleSheetLayoutView="100" workbookViewId="0">
      <x:selection activeCell="D61" activeCellId="0" sqref="D61:D6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1790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331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35" t="s">
        <x:v>144</x:v>
      </x:c>
      <x:c r="C3" s="135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35" t="s">
        <x:v>144</x:v>
      </x:c>
      <x:c r="J3" s="135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901</x:v>
      </x:c>
      <x:c r="D4" s="39"/>
      <x:c r="E4" s="39"/>
      <x:c r="F4" s="40">
        <x:f>+D4+E4</x:f>
        <x:v>0</x:v>
      </x:c>
      <x:c r="G4" s="42"/>
      <x:c r="H4" s="134" t="s">
        <x:v>151</x:v>
      </x:c>
      <x:c r="I4" s="38" t="s">
        <x:v>1679</x:v>
      </x:c>
      <x:c r="J4" s="38" t="s">
        <x:v>1030</x:v>
      </x:c>
      <x:c r="K4" s="39">
        <x:v>59860000</x:v>
      </x:c>
      <x:c r="L4" s="39">
        <x:v>140000</x:v>
      </x:c>
      <x:c r="M4" s="40">
        <x:f>+K4+L4</x:f>
        <x:v>60000000</x:v>
      </x:c>
      <x:c r="N4" s="18"/>
    </x:row>
    <x:row r="5" spans="1:14" ht="20.100000000000001" customHeight="1">
      <x:c r="A5" s="298" t="s">
        <x:v>148</x:v>
      </x:c>
      <x:c r="B5" s="19"/>
      <x:c r="C5" s="54"/>
      <x:c r="D5" s="20"/>
      <x:c r="E5" s="20"/>
      <x:c r="F5" s="21"/>
      <x:c r="G5" s="22"/>
      <x:c r="H5" s="298" t="s">
        <x:v>148</x:v>
      </x:c>
      <x:c r="I5" s="19" t="s">
        <x:v>838</x:v>
      </x:c>
      <x:c r="J5" s="19" t="s">
        <x:v>773</x:v>
      </x:c>
      <x:c r="K5" s="20">
        <x:v>78000</x:v>
      </x:c>
      <x:c r="L5" s="20">
        <x:f t="shared" ref="L5:L13" si="0">+K5*0.1</x:f>
        <x:v>7800</x:v>
      </x:c>
      <x:c r="M5" s="21">
        <x:f t="shared" ref="M5:M21" si="1">+K5+L5</x:f>
        <x:v>85800</x:v>
      </x:c>
      <x:c r="N5" s="22"/>
    </x:row>
    <x:row r="6" spans="1:14" ht="20.100000000000001" customHeight="1">
      <x:c r="A6" s="299"/>
      <x:c r="B6" s="3"/>
      <x:c r="C6" s="3"/>
      <x:c r="D6" s="4"/>
      <x:c r="E6" s="4"/>
      <x:c r="F6" s="5"/>
      <x:c r="G6" s="6"/>
      <x:c r="H6" s="299"/>
      <x:c r="I6" s="3" t="s">
        <x:v>867</x:v>
      </x:c>
      <x:c r="J6" s="3" t="s">
        <x:v>384</x:v>
      </x:c>
      <x:c r="K6" s="4">
        <x:v>7956540</x:v>
      </x:c>
      <x:c r="L6" s="4">
        <x:f>+K6*0.1</x:f>
        <x:v>795654</x:v>
      </x:c>
      <x:c r="M6" s="5">
        <x:f t="shared" si="1"/>
        <x:v>8752194</x:v>
      </x:c>
      <x:c r="N6" s="6"/>
    </x:row>
    <x:row r="7" spans="1:14" ht="20.100000000000001" customHeight="1">
      <x:c r="A7" s="299"/>
      <x:c r="B7" s="3"/>
      <x:c r="C7" s="3"/>
      <x:c r="D7" s="4"/>
      <x:c r="E7" s="4"/>
      <x:c r="F7" s="5"/>
      <x:c r="G7" s="6"/>
      <x:c r="H7" s="299"/>
      <x:c r="I7" s="3" t="s">
        <x:v>1119</x:v>
      </x:c>
      <x:c r="J7" s="3" t="s">
        <x:v>1227</x:v>
      </x:c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3"/>
      <x:c r="C8" s="3"/>
      <x:c r="D8" s="4"/>
      <x:c r="E8" s="4"/>
      <x:c r="F8" s="5"/>
      <x:c r="G8" s="6"/>
      <x:c r="H8" s="299"/>
      <x:c r="I8" s="3" t="s">
        <x:v>976</x:v>
      </x:c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/>
      <x:c r="C9" s="3"/>
      <x:c r="D9" s="4"/>
      <x:c r="E9" s="4"/>
      <x:c r="F9" s="5"/>
      <x:c r="G9" s="6"/>
      <x:c r="H9" s="299"/>
      <x:c r="I9" s="3" t="s">
        <x:v>840</x:v>
      </x:c>
      <x:c r="J9" s="3" t="s">
        <x:v>371</x:v>
      </x:c>
      <x:c r="K9" s="4">
        <x:v>200120</x:v>
      </x:c>
      <x:c r="L9" s="4">
        <x:f t="shared" si="0"/>
        <x:v>20012</x:v>
      </x:c>
      <x:c r="M9" s="5">
        <x:f t="shared" si="1"/>
        <x:v>220132</x:v>
      </x:c>
      <x:c r="N9" s="6"/>
    </x:row>
    <x:row r="10" spans="1:14" ht="20.100000000000001" customHeight="1">
      <x:c r="A10" s="299"/>
      <x:c r="B10" s="3"/>
      <x:c r="C10" s="3"/>
      <x:c r="D10" s="4"/>
      <x:c r="E10" s="4"/>
      <x:c r="F10" s="5"/>
      <x:c r="G10" s="6"/>
      <x:c r="H10" s="299"/>
      <x:c r="I10" s="3" t="s">
        <x:v>846</x:v>
      </x:c>
      <x:c r="J10" s="3" t="s">
        <x:v>1238</x:v>
      </x:c>
      <x:c r="K10" s="4">
        <x:v>148000</x:v>
      </x:c>
      <x:c r="L10" s="4">
        <x:f t="shared" si="0"/>
        <x:v>14800</x:v>
      </x:c>
      <x:c r="M10" s="5">
        <x:f t="shared" si="1"/>
        <x:v>162800</x:v>
      </x:c>
      <x:c r="N10" s="6"/>
    </x:row>
    <x:row r="11" spans="1:14" ht="20.100000000000001" customHeight="1">
      <x:c r="A11" s="299"/>
      <x:c r="B11" s="3"/>
      <x:c r="C11" s="3"/>
      <x:c r="D11" s="4"/>
      <x:c r="E11" s="4"/>
      <x:c r="F11" s="45"/>
      <x:c r="G11" s="6"/>
      <x:c r="H11" s="299"/>
      <x:c r="I11" s="3" t="s">
        <x:v>846</x:v>
      </x:c>
      <x:c r="J11" s="3" t="s">
        <x:v>953</x:v>
      </x:c>
      <x:c r="K11" s="4"/>
      <x:c r="L11" s="4">
        <x:f t="shared" si="0"/>
        <x:v>0</x:v>
      </x:c>
      <x:c r="M11" s="5">
        <x:f t="shared" si="1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/>
      <x:c r="F12" s="5"/>
      <x:c r="G12" s="6"/>
      <x:c r="H12" s="299"/>
      <x:c r="I12" s="3" t="s">
        <x:v>1705</x:v>
      </x:c>
      <x:c r="J12" s="3" t="s">
        <x:v>1113</x:v>
      </x:c>
      <x:c r="K12" s="4"/>
      <x:c r="L12" s="4">
        <x:f t="shared" si="0"/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/>
      <x:c r="F13" s="45"/>
      <x:c r="G13" s="6"/>
      <x:c r="H13" s="299"/>
      <x:c r="I13" s="3" t="s">
        <x:v>854</x:v>
      </x:c>
      <x:c r="J13" s="3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3"/>
      <x:c r="C14" s="3"/>
      <x:c r="D14" s="4"/>
      <x:c r="E14" s="4"/>
      <x:c r="F14" s="45"/>
      <x:c r="G14" s="6"/>
      <x:c r="H14" s="299"/>
      <x:c r="I14" s="3" t="s">
        <x:v>1058</x:v>
      </x:c>
      <x:c r="J14" s="3" t="s">
        <x:v>775</x:v>
      </x:c>
      <x:c r="K14" s="4">
        <x:v>1501240</x:v>
      </x:c>
      <x:c r="L14" s="4">
        <x:f>K14*0.1</x:f>
        <x:v>150124</x:v>
      </x:c>
      <x:c r="M14" s="5">
        <x:f t="shared" si="1"/>
        <x:v>1651364</x:v>
      </x:c>
      <x:c r="N14" s="6"/>
    </x:row>
    <x:row r="15" spans="1:14" ht="20.100000000000001" customHeight="1">
      <x:c r="A15" s="299"/>
      <x:c r="B15" s="3"/>
      <x:c r="C15" s="3"/>
      <x:c r="D15" s="4"/>
      <x:c r="E15" s="4"/>
      <x:c r="F15" s="45"/>
      <x:c r="G15" s="6"/>
      <x:c r="H15" s="299"/>
      <x:c r="I15" s="3" t="s">
        <x:v>1203</x:v>
      </x:c>
      <x:c r="J15" s="3" t="s">
        <x:v>1221</x:v>
      </x:c>
      <x:c r="K15" s="4"/>
      <x:c r="L15" s="4">
        <x:f>K15*0.1</x:f>
        <x:v>0</x:v>
      </x:c>
      <x:c r="M15" s="5">
        <x:f t="shared" si="1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/>
      <x:c r="F16" s="45"/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1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0</x:v>
      </x:c>
      <x:c r="E17" s="9">
        <x:f>SUM(E5:E16)</x:f>
        <x:v>0</x:v>
      </x:c>
      <x:c r="F17" s="10">
        <x:f>SUM(F5:F16)</x:f>
        <x:v>0</x:v>
      </x:c>
      <x:c r="G17" s="11"/>
      <x:c r="H17" s="7"/>
      <x:c r="I17" s="8"/>
      <x:c r="J17" s="8"/>
      <x:c r="K17" s="9">
        <x:f>SUM(K5:K16)</x:f>
        <x:v>9883900</x:v>
      </x:c>
      <x:c r="L17" s="9">
        <x:f>SUM(L5:L16)</x:f>
        <x:v>988390</x:v>
      </x:c>
      <x:c r="M17" s="10">
        <x:f>SUM(M5:M16)</x:f>
        <x:v>10872290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9180000</x:v>
      </x:c>
      <x:c r="E18" s="44"/>
      <x:c r="F18" s="45">
        <x:f>+D18+E18</x:f>
        <x:v>9180000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20290000</x:v>
      </x:c>
      <x:c r="L18" s="4"/>
      <x:c r="M18" s="5">
        <x:f t="shared" si="1"/>
        <x:v>20290000</x:v>
      </x:c>
      <x:c r="N18" s="6"/>
    </x:row>
    <x:row r="19" spans="1:14" ht="20.100000000000001" customHeight="1">
      <x:c r="A19" s="299"/>
      <x:c r="B19" s="3" t="s">
        <x:v>226</x:v>
      </x:c>
      <x:c r="C19" s="3" t="s">
        <x:v>185</x:v>
      </x:c>
      <x:c r="D19" s="4">
        <x:v>8844500</x:v>
      </x:c>
      <x:c r="E19" s="4"/>
      <x:c r="F19" s="5">
        <x:f>+D19+E19</x:f>
        <x:v>8844500</x:v>
      </x:c>
      <x:c r="G19" s="37"/>
      <x:c r="H19" s="299"/>
      <x:c r="I19" s="3" t="s">
        <x:v>695</x:v>
      </x:c>
      <x:c r="J19" s="3" t="s">
        <x:v>1107</x:v>
      </x:c>
      <x:c r="K19" s="4"/>
      <x:c r="L19" s="4"/>
      <x:c r="M19" s="5">
        <x:f t="shared" si="1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/>
      <x:c r="F20" s="5">
        <x:f>+D20+E20</x:f>
        <x:v>0</x:v>
      </x:c>
      <x:c r="G20" s="37"/>
      <x:c r="H20" s="299"/>
      <x:c r="I20" s="3" t="s">
        <x:v>703</x:v>
      </x:c>
      <x:c r="J20" s="3" t="s">
        <x:v>194</x:v>
      </x:c>
      <x:c r="K20" s="4"/>
      <x:c r="L20" s="4">
        <x:f>K20*0.1</x:f>
        <x:v>0</x:v>
      </x:c>
      <x:c r="M20" s="5">
        <x:f t="shared" si="1"/>
        <x:v>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18024500</x:v>
      </x:c>
      <x:c r="E22" s="9">
        <x:f>SUM(E18:E21)</x:f>
        <x:v>0</x:v>
      </x:c>
      <x:c r="F22" s="10">
        <x:f>SUM(F18:F21)</x:f>
        <x:v>18024500</x:v>
      </x:c>
      <x:c r="G22" s="11"/>
      <x:c r="H22" s="7"/>
      <x:c r="I22" s="8"/>
      <x:c r="J22" s="8"/>
      <x:c r="K22" s="9">
        <x:f>SUM(K18:K21)</x:f>
        <x:v>20290000</x:v>
      </x:c>
      <x:c r="L22" s="9">
        <x:f>SUM(L18:L21)</x:f>
        <x:v>0</x:v>
      </x:c>
      <x:c r="M22" s="10">
        <x:f>SUM(M18:M21)</x:f>
        <x:v>20290000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540000</x:v>
      </x:c>
      <x:c r="L23" s="4">
        <x:f>+K23*0.1</x:f>
        <x:v>54000</x:v>
      </x:c>
      <x:c r="M23" s="5">
        <x:f>+K23+L23</x:f>
        <x:v>594000</x:v>
      </x:c>
      <x:c r="N23" s="6" t="s">
        <x:v>250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50000</x:v>
      </x:c>
      <x:c r="L24" s="4">
        <x:f>K24*0.1</x:f>
        <x:v>5000</x:v>
      </x:c>
      <x:c r="M24" s="5">
        <x:f>+K24+L24</x:f>
        <x:v>55000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590000</x:v>
      </x:c>
      <x:c r="L27" s="9">
        <x:f>SUM(L23:L26)</x:f>
        <x:v>59000</x:v>
      </x:c>
      <x:c r="M27" s="10">
        <x:f>SUM(M23:M26)</x:f>
        <x:v>649000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1280820</x:v>
      </x:c>
      <x:c r="E28" s="44"/>
      <x:c r="F28" s="5">
        <x:f>+D28+E28</x:f>
        <x:v>1280820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1033000</x:v>
      </x:c>
      <x:c r="L28" s="4">
        <x:v>7000</x:v>
      </x:c>
      <x:c r="M28" s="5">
        <x:f t="shared" ref="M28:M37" si="2">+K28+L28</x:f>
        <x:v>1040000</x:v>
      </x:c>
      <x:c r="N28" s="6"/>
    </x:row>
    <x:row r="29" spans="1:14" ht="20.100000000000001" customHeight="1">
      <x:c r="A29" s="299"/>
      <x:c r="B29" s="3" t="s">
        <x:v>959</x:v>
      </x:c>
      <x:c r="C29" s="3" t="s">
        <x:v>739</x:v>
      </x:c>
      <x:c r="D29" s="4"/>
      <x:c r="E29" s="4">
        <x:f>+D29*0.1</x:f>
        <x:v>0</x:v>
      </x:c>
      <x:c r="F29" s="5">
        <x:f>+D29+E29</x:f>
        <x:v>0</x:v>
      </x:c>
      <x:c r="G29" s="6"/>
      <x:c r="H29" s="299"/>
      <x:c r="I29" s="3" t="s">
        <x:v>1205</x:v>
      </x:c>
      <x:c r="J29" s="3" t="s">
        <x:v>28</x:v>
      </x:c>
      <x:c r="K29" s="4">
        <x:v>474545</x:v>
      </x:c>
      <x:c r="L29" s="4">
        <x:f>+K29*0.1</x:f>
        <x:v>47454.5</x:v>
      </x:c>
      <x:c r="M29" s="5">
        <x:f t="shared" si="2"/>
        <x:v>521999.5</x:v>
      </x:c>
      <x:c r="N29" s="6"/>
    </x:row>
    <x:row r="30" spans="1:14" ht="20.100000000000001" customHeight="1">
      <x:c r="A30" s="299"/>
      <x:c r="B30" s="3" t="s">
        <x:v>186</x:v>
      </x:c>
      <x:c r="C30" s="3" t="s">
        <x:v>776</x:v>
      </x:c>
      <x:c r="D30" s="4">
        <x:v>550000</x:v>
      </x:c>
      <x:c r="E30" s="4"/>
      <x:c r="F30" s="5">
        <x:f>+D30+E30</x:f>
        <x:v>550000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2"/>
        <x:v>550000</x:v>
      </x:c>
      <x:c r="N30" s="6"/>
    </x:row>
    <x:row r="31" spans="1:14" ht="20.100000000000001" customHeight="1">
      <x:c r="A31" s="299"/>
      <x:c r="B31" s="3" t="s">
        <x:v>1699</x:v>
      </x:c>
      <x:c r="C31" s="3" t="s">
        <x:v>167</x:v>
      </x:c>
      <x:c r="D31" s="4"/>
      <x:c r="E31" s="4">
        <x:f>+D31*0.1</x:f>
        <x:v>0</x:v>
      </x:c>
      <x:c r="F31" s="5">
        <x:f t="shared" ref="F31:F37" si="3">+D31+E31</x:f>
        <x:v>0</x:v>
      </x:c>
      <x:c r="G31" s="6"/>
      <x:c r="H31" s="299"/>
      <x:c r="I31" s="3" t="s">
        <x:v>883</x:v>
      </x:c>
      <x:c r="J31" s="3" t="s">
        <x:v>1788</x:v>
      </x:c>
      <x:c r="K31" s="4">
        <x:v>200000</x:v>
      </x:c>
      <x:c r="L31" s="4">
        <x:f>K31*0.1</x:f>
        <x:v>20000</x:v>
      </x:c>
      <x:c r="M31" s="5">
        <x:f t="shared" si="2"/>
        <x:v>220000</x:v>
      </x:c>
      <x:c r="N31" s="6"/>
    </x:row>
    <x:row r="32" spans="1:14" ht="20.100000000000001" customHeight="1">
      <x:c r="A32" s="299"/>
      <x:c r="B32" s="3" t="s">
        <x:v>994</x:v>
      </x:c>
      <x:c r="C32" s="3" t="s">
        <x:v>8</x:v>
      </x:c>
      <x:c r="D32" s="4">
        <x:v>424546</x:v>
      </x:c>
      <x:c r="E32" s="4">
        <x:f>+INT(D32*0.1)</x:f>
        <x:v>42454</x:v>
      </x:c>
      <x:c r="F32" s="5">
        <x:f>+D32+E32</x:f>
        <x:v>467000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2"/>
        <x:v>110000</x:v>
      </x:c>
      <x:c r="N32" s="6"/>
    </x:row>
    <x:row r="33" spans="1:14" ht="20.100000000000001" customHeight="1">
      <x:c r="A33" s="299"/>
      <x:c r="B33" s="3" t="s">
        <x:v>247</x:v>
      </x:c>
      <x:c r="C33" s="3" t="s">
        <x:v>231</x:v>
      </x:c>
      <x:c r="D33" s="4">
        <x:v>22000</x:v>
      </x:c>
      <x:c r="E33" s="4">
        <x:f>+INT(D33*0.1)</x:f>
        <x:v>2200</x:v>
      </x:c>
      <x:c r="F33" s="5">
        <x:f t="shared" si="3"/>
        <x:v>24200</x:v>
      </x:c>
      <x:c r="G33" s="6"/>
      <x:c r="H33" s="299"/>
      <x:c r="I33" s="3" t="s">
        <x:v>1120</x:v>
      </x:c>
      <x:c r="J33" s="3" t="s">
        <x:v>167</x:v>
      </x:c>
      <x:c r="K33" s="4">
        <x:v>10000</x:v>
      </x:c>
      <x:c r="L33" s="4">
        <x:f>K33*0.1</x:f>
        <x:v>1000</x:v>
      </x:c>
      <x:c r="M33" s="5">
        <x:f t="shared" si="2"/>
        <x:v>11000</x:v>
      </x:c>
      <x:c r="N33" s="6"/>
    </x:row>
    <x:row r="34" spans="1:14" ht="20.100000000000001" customHeight="1">
      <x:c r="A34" s="299"/>
      <x:c r="B34" s="3"/>
      <x:c r="C34" s="3"/>
      <x:c r="D34" s="4"/>
      <x:c r="E34" s="4">
        <x:f>+D34*0.1</x:f>
        <x:v>0</x:v>
      </x:c>
      <x:c r="F34" s="5">
        <x:f t="shared" si="3"/>
        <x:v>0</x:v>
      </x:c>
      <x:c r="G34" s="6"/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2"/>
        <x:v>23100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3"/>
        <x:v>0</x:v>
      </x:c>
      <x:c r="G35" s="6"/>
      <x:c r="H35" s="299"/>
      <x:c r="I35" s="3"/>
      <x:c r="J35" s="3"/>
      <x:c r="K35" s="4"/>
      <x:c r="L35" s="4"/>
      <x:c r="M35" s="5">
        <x:f t="shared" si="2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3"/>
        <x:v>0</x:v>
      </x:c>
      <x:c r="G36" s="6"/>
      <x:c r="H36" s="299"/>
      <x:c r="I36" s="3"/>
      <x:c r="J36" s="3"/>
      <x:c r="K36" s="4"/>
      <x:c r="L36" s="4"/>
      <x:c r="M36" s="5">
        <x:f t="shared" si="2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3"/>
        <x:v>0</x:v>
      </x:c>
      <x:c r="G37" s="6"/>
      <x:c r="H37" s="300"/>
      <x:c r="I37" s="3"/>
      <x:c r="J37" s="3"/>
      <x:c r="K37" s="4"/>
      <x:c r="L37" s="4"/>
      <x:c r="M37" s="5">
        <x:f t="shared" si="2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2277366</x:v>
      </x:c>
      <x:c r="E38" s="9">
        <x:f>SUM(E28:E37)</x:f>
        <x:v>44654</x:v>
      </x:c>
      <x:c r="F38" s="10">
        <x:f>SUM(F28:F37)</x:f>
        <x:v>2322020</x:v>
      </x:c>
      <x:c r="G38" s="11"/>
      <x:c r="H38" s="7"/>
      <x:c r="I38" s="8"/>
      <x:c r="J38" s="8"/>
      <x:c r="K38" s="9">
        <x:f>SUM(K28:K37)</x:f>
        <x:v>2338545</x:v>
      </x:c>
      <x:c r="L38" s="9">
        <x:f>SUM(L28:L37)</x:f>
        <x:v>137554.5</x:v>
      </x:c>
      <x:c r="M38" s="10">
        <x:f>SUM(M28:M37)</x:f>
        <x:v>2476099.5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20301866</x:v>
      </x:c>
      <x:c r="E39" s="14">
        <x:f>+E17+E22+E27+E38</x:f>
        <x:v>44654</x:v>
      </x:c>
      <x:c r="F39" s="15">
        <x:f>+F17+F22+F27+F38</x:f>
        <x:v>20346520</x:v>
      </x:c>
      <x:c r="G39" s="16"/>
      <x:c r="H39" s="12"/>
      <x:c r="I39" s="13"/>
      <x:c r="J39" s="13"/>
      <x:c r="K39" s="14">
        <x:f>+K17+K22+K27+K38</x:f>
        <x:v>33102445</x:v>
      </x:c>
      <x:c r="L39" s="14">
        <x:f>+L17+L22+L27+L38</x:f>
        <x:v>1184944.5</x:v>
      </x:c>
      <x:c r="M39" s="15">
        <x:f>+M17+M22+M27+M38</x:f>
        <x:v>34287389.5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-20301866</x:v>
      </x:c>
      <x:c r="E40" s="25">
        <x:f>+E4-E39</x:f>
        <x:v>-44654</x:v>
      </x:c>
      <x:c r="F40" s="26">
        <x:f>+F4-F39</x:f>
        <x:v>-20346520</x:v>
      </x:c>
      <x:c r="G40" s="27"/>
      <x:c r="H40" s="23"/>
      <x:c r="I40" s="24"/>
      <x:c r="J40" s="24"/>
      <x:c r="K40" s="25">
        <x:f>+K4-K39</x:f>
        <x:v>26757555</x:v>
      </x:c>
      <x:c r="L40" s="25">
        <x:f>+L4-L39</x:f>
        <x:v>-1044944.5</x:v>
      </x:c>
      <x:c r="M40" s="26">
        <x:f>+M4-M39</x:f>
        <x:v>25712610.5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35" t="s">
        <x:v>144</x:v>
      </x:c>
      <x:c r="C42" s="135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35" t="s">
        <x:v>144</x:v>
      </x:c>
      <x:c r="J42" s="135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34" t="s">
        <x:v>151</x:v>
      </x:c>
      <x:c r="B43" s="38" t="s">
        <x:v>1679</x:v>
      </x:c>
      <x:c r="C43" s="38" t="s">
        <x:v>1030</x:v>
      </x:c>
      <x:c r="D43" s="39">
        <x:v>118255921</x:v>
      </x:c>
      <x:c r="E43" s="39">
        <x:v>8744079</x:v>
      </x:c>
      <x:c r="F43" s="40">
        <x:f>+D43+E43</x:f>
        <x:v>127000000</x:v>
      </x:c>
      <x:c r="G43" s="18"/>
      <x:c r="H43" s="134" t="s">
        <x:v>151</x:v>
      </x:c>
      <x:c r="I43" s="38" t="s">
        <x:v>1679</x:v>
      </x:c>
      <x:c r="J43" s="38" t="s">
        <x:v>1030</x:v>
      </x:c>
      <x:c r="K43" s="39">
        <x:v>247370208</x:v>
      </x:c>
      <x:c r="L43" s="39">
        <x:v>2629792</x:v>
      </x:c>
      <x:c r="M43" s="40">
        <x:f>+K43+L43</x:f>
        <x:v>250000000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1116</x:v>
      </x:c>
      <x:c r="D44" s="20"/>
      <x:c r="E44" s="20">
        <x:f>D44*0.1</x:f>
        <x:v>0</x:v>
      </x:c>
      <x:c r="F44" s="21">
        <x:f>+D44+E44</x:f>
        <x:v>0</x:v>
      </x:c>
      <x:c r="G44" s="22"/>
      <x:c r="H44" s="298" t="s">
        <x:v>148</x:v>
      </x:c>
      <x:c r="I44" s="19" t="s">
        <x:v>838</x:v>
      </x:c>
      <x:c r="J44" s="19" t="s">
        <x:v>1116</x:v>
      </x:c>
      <x:c r="K44" s="20"/>
      <x:c r="L44" s="20">
        <x:f>+K44*0.1</x:f>
        <x:v>0</x:v>
      </x:c>
      <x:c r="M44" s="21">
        <x:f>+K44+L44</x:f>
        <x:v>0</x:v>
      </x:c>
      <x:c r="N44" s="22"/>
    </x:row>
    <x:row r="45" spans="1:14" ht="20.100000000000001" customHeight="1">
      <x:c r="A45" s="299"/>
      <x:c r="B45" s="3" t="s">
        <x:v>840</x:v>
      </x:c>
      <x:c r="C45" s="3" t="s">
        <x:v>742</x:v>
      </x:c>
      <x:c r="D45" s="4"/>
      <x:c r="E45" s="4">
        <x:f>INT(D45*0.1)</x:f>
        <x:v>0</x:v>
      </x:c>
      <x:c r="F45" s="5">
        <x:f>+D45+E45</x:f>
        <x:v>0</x:v>
      </x:c>
      <x:c r="G45" s="6"/>
      <x:c r="H45" s="299"/>
      <x:c r="I45" s="3" t="s">
        <x:v>867</x:v>
      </x:c>
      <x:c r="J45" s="3" t="s">
        <x:v>369</x:v>
      </x:c>
      <x:c r="K45" s="4">
        <x:v>55513376</x:v>
      </x:c>
      <x:c r="L45" s="4">
        <x:f>+K45*0.1-1</x:f>
        <x:v>5551336.6000000006</x:v>
      </x:c>
      <x:c r="M45" s="5">
        <x:f>+K45+L45</x:f>
        <x:v>61064712.600000001</x:v>
      </x:c>
      <x:c r="N45" s="6"/>
    </x:row>
    <x:row r="46" spans="1:14" ht="20.100000000000001" customHeight="1">
      <x:c r="A46" s="299"/>
      <x:c r="B46" s="3" t="s">
        <x:v>21</x:v>
      </x:c>
      <x:c r="C46" s="3" t="s">
        <x:v>1155</x:v>
      </x:c>
      <x:c r="D46" s="4">
        <x:v>3072010</x:v>
      </x:c>
      <x:c r="E46" s="4">
        <x:f>D46*0.1</x:f>
        <x:v>307201</x:v>
      </x:c>
      <x:c r="F46" s="5">
        <x:f>+D46+E46</x:f>
        <x:v>3379211</x:v>
      </x:c>
      <x:c r="G46" s="6"/>
      <x:c r="H46" s="299"/>
      <x:c r="I46" s="3" t="s">
        <x:v>840</x:v>
      </x:c>
      <x:c r="J46" s="3" t="s">
        <x:v>1782</x:v>
      </x:c>
      <x:c r="K46" s="4">
        <x:v>267600</x:v>
      </x:c>
      <x:c r="L46" s="4">
        <x:f>+INT(K46*0.1)</x:f>
        <x:v>26760</x:v>
      </x:c>
      <x:c r="M46" s="5">
        <x:f t="shared" ref="M46:M58" si="4">+K46+L46</x:f>
        <x:v>294360</x:v>
      </x:c>
      <x:c r="N46" s="6"/>
    </x:row>
    <x:row r="47" spans="1:14" ht="20.100000000000001" customHeight="1">
      <x:c r="A47" s="299"/>
      <x:c r="B47" s="3" t="s">
        <x:v>1058</x:v>
      </x:c>
      <x:c r="C47" s="3" t="s">
        <x:v>386</x:v>
      </x:c>
      <x:c r="D47" s="4">
        <x:v>746500</x:v>
      </x:c>
      <x:c r="E47" s="4">
        <x:f>D47*0.1</x:f>
        <x:v>74650</x:v>
      </x:c>
      <x:c r="F47" s="5">
        <x:f t="shared" ref="F47:F56" si="5">+D47+E47</x:f>
        <x:v>821150</x:v>
      </x:c>
      <x:c r="G47" s="6"/>
      <x:c r="H47" s="299"/>
      <x:c r="I47" s="3" t="s">
        <x:v>976</x:v>
      </x:c>
      <x:c r="J47" s="3" t="s">
        <x:v>337</x:v>
      </x:c>
      <x:c r="K47" s="4">
        <x:v>76000</x:v>
      </x:c>
      <x:c r="L47" s="4">
        <x:f t="shared" ref="L47:L58" si="6">+INT(K47*0.1)</x:f>
        <x:v>7600</x:v>
      </x:c>
      <x:c r="M47" s="5">
        <x:f t="shared" si="4"/>
        <x:v>83600</x:v>
      </x:c>
      <x:c r="N47" s="6"/>
    </x:row>
    <x:row r="48" spans="1:14" ht="20.100000000000001" customHeight="1">
      <x:c r="A48" s="299"/>
      <x:c r="B48" s="3" t="s">
        <x:v>854</x:v>
      </x:c>
      <x:c r="C48" s="3" t="s">
        <x:v>769</x:v>
      </x:c>
      <x:c r="D48" s="4">
        <x:v>1741420</x:v>
      </x:c>
      <x:c r="E48" s="4">
        <x:f t="shared" ref="E48:E58" si="7">+INT(D48*0.1)</x:f>
        <x:v>174142</x:v>
      </x:c>
      <x:c r="F48" s="5">
        <x:f t="shared" si="5"/>
        <x:v>1915562</x:v>
      </x:c>
      <x:c r="G48" s="6"/>
      <x:c r="H48" s="299"/>
      <x:c r="I48" s="3" t="s">
        <x:v>1058</x:v>
      </x:c>
      <x:c r="J48" s="3" t="s">
        <x:v>387</x:v>
      </x:c>
      <x:c r="K48" s="4">
        <x:v>456500</x:v>
      </x:c>
      <x:c r="L48" s="4">
        <x:f t="shared" si="6"/>
        <x:v>45650</x:v>
      </x:c>
      <x:c r="M48" s="5">
        <x:f t="shared" si="4"/>
        <x:v>502150</x:v>
      </x:c>
      <x:c r="N48" s="6"/>
    </x:row>
    <x:row r="49" spans="1:14" ht="20.100000000000001" customHeight="1">
      <x:c r="A49" s="299"/>
      <x:c r="B49" s="3" t="s">
        <x:v>1070</x:v>
      </x:c>
      <x:c r="C49" s="3" t="s">
        <x:v>1247</x:v>
      </x:c>
      <x:c r="D49" s="4">
        <x:v>2960000</x:v>
      </x:c>
      <x:c r="E49" s="4">
        <x:f t="shared" si="7"/>
        <x:v>296000</x:v>
      </x:c>
      <x:c r="F49" s="5">
        <x:f t="shared" si="5"/>
        <x:v>3256000</x:v>
      </x:c>
      <x:c r="G49" s="6"/>
      <x:c r="H49" s="299"/>
      <x:c r="I49" s="3" t="s">
        <x:v>967</x:v>
      </x:c>
      <x:c r="J49" s="3" t="s">
        <x:v>1207</x:v>
      </x:c>
      <x:c r="K49" s="4">
        <x:v>13044000</x:v>
      </x:c>
      <x:c r="L49" s="4">
        <x:f t="shared" si="6"/>
        <x:v>1304400</x:v>
      </x:c>
      <x:c r="M49" s="5">
        <x:f t="shared" si="4"/>
        <x:v>14348400</x:v>
      </x:c>
      <x:c r="N49" s="6"/>
    </x:row>
    <x:row r="50" spans="1:14" ht="20.100000000000001" customHeight="1">
      <x:c r="A50" s="299"/>
      <x:c r="B50" s="3" t="s">
        <x:v>1119</x:v>
      </x:c>
      <x:c r="C50" s="3"/>
      <x:c r="D50" s="4"/>
      <x:c r="E50" s="4">
        <x:f t="shared" si="7"/>
        <x:v>0</x:v>
      </x:c>
      <x:c r="F50" s="5">
        <x:f t="shared" si="5"/>
        <x:v>0</x:v>
      </x:c>
      <x:c r="G50" s="6"/>
      <x:c r="H50" s="299"/>
      <x:c r="I50" s="3" t="s">
        <x:v>846</x:v>
      </x:c>
      <x:c r="J50" s="3" t="s">
        <x:v>1152</x:v>
      </x:c>
      <x:c r="K50" s="4">
        <x:v>1408600</x:v>
      </x:c>
      <x:c r="L50" s="4">
        <x:f t="shared" si="6"/>
        <x:v>140860</x:v>
      </x:c>
      <x:c r="M50" s="5">
        <x:f t="shared" si="4"/>
        <x:v>1549460</x:v>
      </x:c>
      <x:c r="N50" s="6"/>
    </x:row>
    <x:row r="51" spans="1:14" ht="20.100000000000001" customHeight="1">
      <x:c r="A51" s="299"/>
      <x:c r="B51" s="3" t="s">
        <x:v>1173</x:v>
      </x:c>
      <x:c r="C51" s="3" t="s">
        <x:v>1207</x:v>
      </x:c>
      <x:c r="D51" s="4">
        <x:v>11059300</x:v>
      </x:c>
      <x:c r="E51" s="4">
        <x:f t="shared" si="7"/>
        <x:v>1105930</x:v>
      </x:c>
      <x:c r="F51" s="5">
        <x:f t="shared" si="5"/>
        <x:v>12165230</x:v>
      </x:c>
      <x:c r="G51" s="6"/>
      <x:c r="H51" s="299"/>
      <x:c r="I51" s="3" t="s">
        <x:v>1209</x:v>
      </x:c>
      <x:c r="J51" s="3" t="s">
        <x:v>1218</x:v>
      </x:c>
      <x:c r="K51" s="4">
        <x:v>6300000</x:v>
      </x:c>
      <x:c r="L51" s="4">
        <x:f t="shared" si="6"/>
        <x:v>630000</x:v>
      </x:c>
      <x:c r="M51" s="5">
        <x:f t="shared" si="4"/>
        <x:v>6930000</x:v>
      </x:c>
      <x:c r="N51" s="6"/>
    </x:row>
    <x:row r="52" spans="1:14" ht="20.100000000000001" customHeight="1">
      <x:c r="A52" s="299"/>
      <x:c r="B52" s="3" t="s">
        <x:v>846</x:v>
      </x:c>
      <x:c r="C52" s="3" t="s">
        <x:v>1237</x:v>
      </x:c>
      <x:c r="D52" s="4">
        <x:v>3213585</x:v>
      </x:c>
      <x:c r="E52" s="4">
        <x:f t="shared" si="7"/>
        <x:v>321358</x:v>
      </x:c>
      <x:c r="F52" s="5">
        <x:f t="shared" si="5"/>
        <x:v>3534943</x:v>
      </x:c>
      <x:c r="G52" s="6"/>
      <x:c r="H52" s="299"/>
      <x:c r="I52" s="3" t="s">
        <x:v>1705</x:v>
      </x:c>
      <x:c r="J52" s="3"/>
      <x:c r="K52" s="4"/>
      <x:c r="L52" s="4">
        <x:f t="shared" si="6"/>
        <x:v>0</x:v>
      </x:c>
      <x:c r="M52" s="5">
        <x:f t="shared" si="4"/>
        <x:v>0</x:v>
      </x:c>
      <x:c r="N52" s="6"/>
    </x:row>
    <x:row r="53" spans="1:14" ht="20.100000000000001" customHeight="1">
      <x:c r="A53" s="299"/>
      <x:c r="B53" s="3" t="s">
        <x:v>1182</x:v>
      </x:c>
      <x:c r="C53" s="3"/>
      <x:c r="D53" s="4"/>
      <x:c r="E53" s="4">
        <x:f t="shared" si="7"/>
        <x:v>0</x:v>
      </x:c>
      <x:c r="F53" s="5">
        <x:f t="shared" si="5"/>
        <x:v>0</x:v>
      </x:c>
      <x:c r="G53" s="6"/>
      <x:c r="H53" s="299"/>
      <x:c r="I53" s="3" t="s">
        <x:v>1119</x:v>
      </x:c>
      <x:c r="J53" s="3"/>
      <x:c r="K53" s="4"/>
      <x:c r="L53" s="4">
        <x:f t="shared" si="6"/>
        <x:v>0</x:v>
      </x:c>
      <x:c r="M53" s="5">
        <x:f t="shared" si="4"/>
        <x:v>0</x:v>
      </x:c>
      <x:c r="N53" s="6"/>
    </x:row>
    <x:row r="54" spans="1:14" ht="20.100000000000001" customHeight="1">
      <x:c r="A54" s="299"/>
      <x:c r="B54" s="3" t="s">
        <x:v>1209</x:v>
      </x:c>
      <x:c r="C54" s="3" t="s">
        <x:v>1218</x:v>
      </x:c>
      <x:c r="D54" s="4"/>
      <x:c r="E54" s="4">
        <x:f t="shared" si="7"/>
        <x:v>0</x:v>
      </x:c>
      <x:c r="F54" s="5">
        <x:f t="shared" si="5"/>
        <x:v>0</x:v>
      </x:c>
      <x:c r="G54" s="6"/>
      <x:c r="H54" s="299"/>
      <x:c r="I54" s="3" t="s">
        <x:v>854</x:v>
      </x:c>
      <x:c r="J54" s="3" t="s">
        <x:v>1228</x:v>
      </x:c>
      <x:c r="K54" s="4">
        <x:v>486000</x:v>
      </x:c>
      <x:c r="L54" s="4">
        <x:f t="shared" si="6"/>
        <x:v>48600</x:v>
      </x:c>
      <x:c r="M54" s="5">
        <x:f t="shared" si="4"/>
        <x:v>534600</x:v>
      </x:c>
      <x:c r="N54" s="6"/>
    </x:row>
    <x:row r="55" spans="1:14" ht="20.100000000000001" customHeight="1">
      <x:c r="A55" s="299"/>
      <x:c r="B55" s="3" t="s">
        <x:v>1220</x:v>
      </x:c>
      <x:c r="C55" s="3" t="s">
        <x:v>1197</x:v>
      </x:c>
      <x:c r="D55" s="4"/>
      <x:c r="E55" s="4">
        <x:f t="shared" si="7"/>
        <x:v>0</x:v>
      </x:c>
      <x:c r="F55" s="5">
        <x:f t="shared" si="5"/>
        <x:v>0</x:v>
      </x:c>
      <x:c r="G55" s="6"/>
      <x:c r="H55" s="299"/>
      <x:c r="I55" s="3" t="s">
        <x:v>1182</x:v>
      </x:c>
      <x:c r="J55" s="3" t="s">
        <x:v>245</x:v>
      </x:c>
      <x:c r="K55" s="4"/>
      <x:c r="L55" s="4">
        <x:f t="shared" si="6"/>
        <x:v>0</x:v>
      </x:c>
      <x:c r="M55" s="5">
        <x:f t="shared" si="4"/>
        <x:v>0</x:v>
      </x:c>
      <x:c r="N55" s="6"/>
    </x:row>
    <x:row r="56" spans="1:14" ht="20.100000000000001" customHeight="1">
      <x:c r="A56" s="299"/>
      <x:c r="B56" s="3" t="s">
        <x:v>771</x:v>
      </x:c>
      <x:c r="C56" s="3" t="s">
        <x:v>1093</x:v>
      </x:c>
      <x:c r="D56" s="4">
        <x:f>678000+678000+1633700+669200</x:f>
        <x:v>3658900</x:v>
      </x:c>
      <x:c r="E56" s="4">
        <x:f t="shared" si="7"/>
        <x:v>365890</x:v>
      </x:c>
      <x:c r="F56" s="5">
        <x:f t="shared" si="5"/>
        <x:v>4024790</x:v>
      </x:c>
      <x:c r="G56" s="6"/>
      <x:c r="H56" s="299"/>
      <x:c r="I56" s="3" t="s">
        <x:v>1201</x:v>
      </x:c>
      <x:c r="J56" s="3" t="s">
        <x:v>1251</x:v>
      </x:c>
      <x:c r="K56" s="4">
        <x:v>40171250</x:v>
      </x:c>
      <x:c r="L56" s="4">
        <x:f t="shared" si="6"/>
        <x:v>4017125</x:v>
      </x:c>
      <x:c r="M56" s="5">
        <x:f t="shared" si="4"/>
        <x:v>44188375</x:v>
      </x:c>
      <x:c r="N56" s="6"/>
    </x:row>
    <x:row r="57" spans="1:14" ht="20.100000000000001" customHeight="1">
      <x:c r="A57" s="299"/>
      <x:c r="B57" s="3" t="s">
        <x:v>771</x:v>
      </x:c>
      <x:c r="C57" s="3" t="s">
        <x:v>1234</x:v>
      </x:c>
      <x:c r="D57" s="4">
        <x:v>4440400</x:v>
      </x:c>
      <x:c r="E57" s="4">
        <x:f t="shared" si="7"/>
        <x:v>444040</x:v>
      </x:c>
      <x:c r="F57" s="5">
        <x:f>+D57+E57</x:f>
        <x:v>4884440</x:v>
      </x:c>
      <x:c r="G57" s="6"/>
      <x:c r="H57" s="299"/>
      <x:c r="I57" s="129" t="s">
        <x:v>766</x:v>
      </x:c>
      <x:c r="J57" s="129" t="s">
        <x:v>1258</x:v>
      </x:c>
      <x:c r="K57" s="130"/>
      <x:c r="L57" s="130">
        <x:f t="shared" si="6"/>
        <x:v>0</x:v>
      </x:c>
      <x:c r="M57" s="131">
        <x:f t="shared" si="4"/>
        <x:v>0</x:v>
      </x:c>
      <x:c r="N57" s="132"/>
    </x:row>
    <x:row r="58" spans="1:14" ht="20.100000000000001" customHeight="1">
      <x:c r="A58" s="300"/>
      <x:c r="B58" s="3" t="s">
        <x:v>774</x:v>
      </x:c>
      <x:c r="C58" s="3" t="s">
        <x:v>1240</x:v>
      </x:c>
      <x:c r="D58" s="4">
        <x:v>2200000</x:v>
      </x:c>
      <x:c r="E58" s="4">
        <x:f t="shared" si="7"/>
        <x:v>220000</x:v>
      </x:c>
      <x:c r="F58" s="5">
        <x:f>+D58+E58</x:f>
        <x:v>2420000</x:v>
      </x:c>
      <x:c r="G58" s="6"/>
      <x:c r="H58" s="300"/>
      <x:c r="I58" s="122" t="s">
        <x:v>762</x:v>
      </x:c>
      <x:c r="J58" s="122" t="s">
        <x:v>759</x:v>
      </x:c>
      <x:c r="K58" s="123"/>
      <x:c r="L58" s="123">
        <x:f t="shared" si="6"/>
        <x:v>0</x:v>
      </x:c>
      <x:c r="M58" s="124">
        <x:f t="shared" si="4"/>
        <x:v>0</x:v>
      </x:c>
      <x:c r="N58" s="125"/>
    </x:row>
    <x:row r="59" spans="1:14" ht="20.100000000000001" customHeight="1">
      <x:c r="A59" s="7" t="s">
        <x:v>155</x:v>
      </x:c>
      <x:c r="B59" s="8"/>
      <x:c r="C59" s="8"/>
      <x:c r="D59" s="9">
        <x:f>SUM(D44:D58)</x:f>
        <x:v>33092115</x:v>
      </x:c>
      <x:c r="E59" s="9">
        <x:f>SUM(E44:E58)</x:f>
        <x:v>3309211</x:v>
      </x:c>
      <x:c r="F59" s="10">
        <x:f>SUM(F44:F58)</x:f>
        <x:v>36401326</x:v>
      </x:c>
      <x:c r="G59" s="11"/>
      <x:c r="H59" s="7" t="s">
        <x:v>155</x:v>
      </x:c>
      <x:c r="I59" s="8"/>
      <x:c r="J59" s="8"/>
      <x:c r="K59" s="9">
        <x:f>SUM(K44:K58)</x:f>
        <x:v>117723326</x:v>
      </x:c>
      <x:c r="L59" s="9">
        <x:f>SUM(L44:L58)</x:f>
        <x:v>11772331.600000001</x:v>
      </x:c>
      <x:c r="M59" s="10">
        <x:f>SUM(M44:M58)</x:f>
        <x:v>129495657.59999999</x:v>
      </x:c>
      <x:c r="N59" s="11"/>
    </x:row>
    <x:row r="60" spans="1:14" ht="20.100000000000001" customHeight="1">
      <x:c r="A60" s="301" t="s">
        <x:v>153</x:v>
      </x:c>
      <x:c r="B60" s="3" t="s">
        <x:v>1677</x:v>
      </x:c>
      <x:c r="C60" s="3" t="s">
        <x:v>1096</x:v>
      </x:c>
      <x:c r="D60" s="44">
        <x:v>43220000</x:v>
      </x:c>
      <x:c r="E60" s="44"/>
      <x:c r="F60" s="45">
        <x:f>+D60+E60</x:f>
        <x:v>43220000</x:v>
      </x:c>
      <x:c r="G60" s="37"/>
      <x:c r="H60" s="301" t="s">
        <x:v>153</x:v>
      </x:c>
      <x:c r="I60" s="3" t="s">
        <x:v>1677</x:v>
      </x:c>
      <x:c r="J60" s="3" t="s">
        <x:v>1114</x:v>
      </x:c>
      <x:c r="K60" s="44">
        <x:v>37980000</x:v>
      </x:c>
      <x:c r="L60" s="44"/>
      <x:c r="M60" s="45">
        <x:f>+K60+L60</x:f>
        <x:v>37980000</x:v>
      </x:c>
      <x:c r="N60" s="37"/>
    </x:row>
    <x:row r="61" spans="1:14" ht="20.100000000000001" customHeight="1">
      <x:c r="A61" s="299"/>
      <x:c r="B61" s="3"/>
      <x:c r="C61" s="3"/>
      <x:c r="D61" s="4"/>
      <x:c r="E61" s="4">
        <x:f>+D61*0.1</x:f>
        <x:v>0</x:v>
      </x:c>
      <x:c r="F61" s="5">
        <x:f>+D61+E61</x:f>
        <x:v>0</x:v>
      </x:c>
      <x:c r="G61" s="37"/>
      <x:c r="H61" s="299"/>
      <x:c r="I61" s="3" t="s">
        <x:v>1050</x:v>
      </x:c>
      <x:c r="J61" s="3" t="s">
        <x:v>225</x:v>
      </x:c>
      <x:c r="K61" s="44">
        <x:v>4000000</x:v>
      </x:c>
      <x:c r="L61" s="44"/>
      <x:c r="M61" s="45">
        <x:f>+K61+L61</x:f>
        <x:v>4000000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6"/>
      <x:c r="H62" s="299"/>
      <x:c r="I62" s="3"/>
      <x:c r="J62" s="3"/>
      <x:c r="K62" s="4"/>
      <x:c r="L62" s="4">
        <x:f>+K62*0.1</x:f>
        <x:v>0</x:v>
      </x:c>
      <x:c r="M62" s="5">
        <x:f>+K62+L62</x:f>
        <x:v>0</x:v>
      </x:c>
      <x:c r="N62" s="6"/>
    </x:row>
    <x:row r="63" spans="1:14" ht="20.100000000000001" customHeight="1">
      <x:c r="A63" s="300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300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7" t="s">
        <x:v>155</x:v>
      </x:c>
      <x:c r="B64" s="8"/>
      <x:c r="C64" s="8"/>
      <x:c r="D64" s="9">
        <x:f>SUM(D60:D63)</x:f>
        <x:v>43220000</x:v>
      </x:c>
      <x:c r="E64" s="9">
        <x:f>SUM(E60:E63)</x:f>
        <x:v>0</x:v>
      </x:c>
      <x:c r="F64" s="10">
        <x:f>SUM(F60:F63)</x:f>
        <x:v>43220000</x:v>
      </x:c>
      <x:c r="G64" s="11"/>
      <x:c r="H64" s="7" t="s">
        <x:v>155</x:v>
      </x:c>
      <x:c r="I64" s="8"/>
      <x:c r="J64" s="8"/>
      <x:c r="K64" s="9">
        <x:f>SUM(K60:K63)</x:f>
        <x:v>41980000</x:v>
      </x:c>
      <x:c r="L64" s="9">
        <x:f>SUM(L60:L63)</x:f>
        <x:v>0</x:v>
      </x:c>
      <x:c r="M64" s="10">
        <x:f>SUM(M60:M63)</x:f>
        <x:v>41980000</x:v>
      </x:c>
      <x:c r="N64" s="11"/>
    </x:row>
    <x:row r="65" spans="1:14" ht="20.100000000000001" customHeight="1">
      <x:c r="A65" s="301" t="s">
        <x:v>187</x:v>
      </x:c>
      <x:c r="B65" s="3" t="s">
        <x:v>1124</x:v>
      </x:c>
      <x:c r="C65" s="3" t="s">
        <x:v>1126</x:v>
      </x:c>
      <x:c r="D65" s="4">
        <x:v>300000</x:v>
      </x:c>
      <x:c r="E65" s="4">
        <x:f>+D65*0.1</x:f>
        <x:v>30000</x:v>
      </x:c>
      <x:c r="F65" s="5">
        <x:f>+D65+E65</x:f>
        <x:v>330000</x:v>
      </x:c>
      <x:c r="G65" s="6"/>
      <x:c r="H65" s="301" t="s">
        <x:v>187</x:v>
      </x:c>
      <x:c r="I65" s="3" t="s">
        <x:v>1124</x:v>
      </x:c>
      <x:c r="J65" s="3" t="s">
        <x:v>1126</x:v>
      </x:c>
      <x:c r="K65" s="4">
        <x:v>230000</x:v>
      </x:c>
      <x:c r="L65" s="4">
        <x:f>+K65*0.1</x:f>
        <x:v>23000</x:v>
      </x:c>
      <x:c r="M65" s="5">
        <x:f>+K65+L65</x:f>
        <x:v>253000</x:v>
      </x:c>
      <x:c r="N65" s="6"/>
    </x:row>
    <x:row r="66" spans="1:14" ht="20.100000000000001" customHeight="1">
      <x:c r="A66" s="299"/>
      <x:c r="B66" s="3" t="s">
        <x:v>1257</x:v>
      </x:c>
      <x:c r="C66" s="3" t="s">
        <x:v>157</x:v>
      </x:c>
      <x:c r="D66" s="4">
        <x:v>900000</x:v>
      </x:c>
      <x:c r="E66" s="4">
        <x:f>+D66*0.1</x:f>
        <x:v>90000</x:v>
      </x:c>
      <x:c r="F66" s="5">
        <x:f>+D66+E66</x:f>
        <x:v>990000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300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0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7" t="s">
        <x:v>155</x:v>
      </x:c>
      <x:c r="B69" s="8"/>
      <x:c r="C69" s="8"/>
      <x:c r="D69" s="9">
        <x:f>SUM(D65:D68)</x:f>
        <x:v>1200000</x:v>
      </x:c>
      <x:c r="E69" s="9">
        <x:f>SUM(E65:E68)</x:f>
        <x:v>120000</x:v>
      </x:c>
      <x:c r="F69" s="10">
        <x:f>SUM(F65:F68)</x:f>
        <x:v>1320000</x:v>
      </x:c>
      <x:c r="G69" s="11"/>
      <x:c r="H69" s="7" t="s">
        <x:v>155</x:v>
      </x:c>
      <x:c r="I69" s="8"/>
      <x:c r="J69" s="8"/>
      <x:c r="K69" s="9">
        <x:f>SUM(K65:K68)</x:f>
        <x:v>230000</x:v>
      </x:c>
      <x:c r="L69" s="9">
        <x:f>SUM(L65:L68)</x:f>
        <x:v>23000</x:v>
      </x:c>
      <x:c r="M69" s="10">
        <x:f>SUM(M65:M68)</x:f>
        <x:v>253000</x:v>
      </x:c>
      <x:c r="N69" s="11"/>
    </x:row>
    <x:row r="70" spans="1:14" ht="20.100000000000001" customHeight="1">
      <x:c r="A70" s="301" t="s">
        <x:v>149</x:v>
      </x:c>
      <x:c r="B70" s="3" t="s">
        <x:v>177</x:v>
      </x:c>
      <x:c r="C70" s="3" t="s">
        <x:v>149</x:v>
      </x:c>
      <x:c r="D70" s="4">
        <x:v>867440</x:v>
      </x:c>
      <x:c r="E70" s="4"/>
      <x:c r="F70" s="5">
        <x:f t="shared" ref="F70:F79" si="8">+D70+E70</x:f>
        <x:v>867440</x:v>
      </x:c>
      <x:c r="G70" s="6"/>
      <x:c r="H70" s="301" t="s">
        <x:v>149</x:v>
      </x:c>
      <x:c r="I70" s="3" t="s">
        <x:v>203</x:v>
      </x:c>
      <x:c r="J70" s="3" t="s">
        <x:v>837</x:v>
      </x:c>
      <x:c r="K70" s="4">
        <x:v>1192180</x:v>
      </x:c>
      <x:c r="L70" s="4"/>
      <x:c r="M70" s="5">
        <x:f>+K70+L70</x:f>
        <x:v>1192180</x:v>
      </x:c>
      <x:c r="N70" s="6"/>
    </x:row>
    <x:row r="71" spans="1:14" ht="20.100000000000001" customHeight="1">
      <x:c r="A71" s="299"/>
      <x:c r="B71" s="3" t="s">
        <x:v>721</x:v>
      </x:c>
      <x:c r="C71" s="3" t="s">
        <x:v>167</x:v>
      </x:c>
      <x:c r="D71" s="4">
        <x:v>168000</x:v>
      </x:c>
      <x:c r="E71" s="4">
        <x:f>+D71*0.1</x:f>
        <x:v>16800</x:v>
      </x:c>
      <x:c r="F71" s="5">
        <x:f t="shared" si="8"/>
        <x:v>184800</x:v>
      </x:c>
      <x:c r="G71" s="6"/>
      <x:c r="H71" s="299"/>
      <x:c r="I71" s="3" t="s">
        <x:v>221</x:v>
      </x:c>
      <x:c r="J71" s="3" t="s">
        <x:v>1053</x:v>
      </x:c>
      <x:c r="K71" s="4">
        <x:v>500000</x:v>
      </x:c>
      <x:c r="L71" s="4">
        <x:f>+K71*0.1</x:f>
        <x:v>50000</x:v>
      </x:c>
      <x:c r="M71" s="5">
        <x:f>+K71+L71</x:f>
        <x:v>550000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D72*0.1</x:f>
        <x:v>10000</x:v>
      </x:c>
      <x:c r="F72" s="5">
        <x:f t="shared" si="8"/>
        <x:v>110000</x:v>
      </x:c>
      <x:c r="G72" s="6"/>
      <x:c r="H72" s="299"/>
      <x:c r="I72" s="3" t="s">
        <x:v>221</x:v>
      </x:c>
      <x:c r="J72" s="3" t="s">
        <x:v>1066</x:v>
      </x:c>
      <x:c r="K72" s="4">
        <x:v>48000</x:v>
      </x:c>
      <x:c r="L72" s="4"/>
      <x:c r="M72" s="5">
        <x:f>+K72+L72</x:f>
        <x:v>48000</x:v>
      </x:c>
      <x:c r="N72" s="6"/>
    </x:row>
    <x:row r="73" spans="1:14" ht="20.100000000000001" customHeight="1">
      <x:c r="A73" s="299"/>
      <x:c r="B73" s="3" t="s">
        <x:v>943</x:v>
      </x:c>
      <x:c r="C73" s="3" t="s">
        <x:v>962</x:v>
      </x:c>
      <x:c r="D73" s="4">
        <x:v>1485000</x:v>
      </x:c>
      <x:c r="E73" s="4">
        <x:f>D73*0.1</x:f>
        <x:v>148500</x:v>
      </x:c>
      <x:c r="F73" s="5">
        <x:f t="shared" si="8"/>
        <x:v>1633500</x:v>
      </x:c>
      <x:c r="G73" s="6"/>
      <x:c r="H73" s="299"/>
      <x:c r="I73" s="3" t="s">
        <x:v>1061</x:v>
      </x:c>
      <x:c r="J73" s="3" t="s">
        <x:v>167</x:v>
      </x:c>
      <x:c r="K73" s="4">
        <x:v>71000</x:v>
      </x:c>
      <x:c r="L73" s="4">
        <x:f>+K73*0.1</x:f>
        <x:v>7100</x:v>
      </x:c>
      <x:c r="M73" s="5">
        <x:f>+K73+L73</x:f>
        <x:v>78100</x:v>
      </x:c>
      <x:c r="N73" s="6"/>
    </x:row>
    <x:row r="74" spans="1:14" ht="20.100000000000001" customHeight="1">
      <x:c r="A74" s="299"/>
      <x:c r="B74" s="3" t="s">
        <x:v>926</x:v>
      </x:c>
      <x:c r="C74" s="3" t="s">
        <x:v>927</x:v>
      </x:c>
      <x:c r="D74" s="4">
        <x:v>367870</x:v>
      </x:c>
      <x:c r="E74" s="4"/>
      <x:c r="F74" s="5">
        <x:f t="shared" si="8"/>
        <x:v>367870</x:v>
      </x:c>
      <x:c r="G74" s="6"/>
      <x:c r="H74" s="299"/>
      <x:c r="I74" s="3" t="s">
        <x:v>1047</x:v>
      </x:c>
      <x:c r="J74" s="3" t="s">
        <x:v>962</x:v>
      </x:c>
      <x:c r="K74" s="4">
        <x:v>1224000</x:v>
      </x:c>
      <x:c r="L74" s="4">
        <x:f>+K74*0.1</x:f>
        <x:v>122400</x:v>
      </x:c>
      <x:c r="M74" s="5">
        <x:f t="shared" ref="M74:M79" si="9">+K74+L74</x:f>
        <x:v>1346400</x:v>
      </x:c>
      <x:c r="N74" s="6"/>
    </x:row>
    <x:row r="75" spans="1:14" ht="20.100000000000001" customHeight="1">
      <x:c r="A75" s="299"/>
      <x:c r="B75" s="3" t="s">
        <x:v>1181</x:v>
      </x:c>
      <x:c r="C75" s="3" t="s">
        <x:v>817</x:v>
      </x:c>
      <x:c r="D75" s="4"/>
      <x:c r="E75" s="4">
        <x:f>D75*0.1</x:f>
        <x:v>0</x:v>
      </x:c>
      <x:c r="F75" s="5">
        <x:f t="shared" si="8"/>
        <x:v>0</x:v>
      </x:c>
      <x:c r="G75" s="6"/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9"/>
        <x:v>110000</x:v>
      </x:c>
      <x:c r="N75" s="6"/>
    </x:row>
    <x:row r="76" spans="1:14" ht="20.100000000000001" customHeight="1">
      <x:c r="A76" s="299"/>
      <x:c r="B76" s="3" t="s">
        <x:v>247</x:v>
      </x:c>
      <x:c r="C76" s="3" t="s">
        <x:v>231</x:v>
      </x:c>
      <x:c r="D76" s="4">
        <x:v>20000</x:v>
      </x:c>
      <x:c r="E76" s="4">
        <x:f>+D76*0.1</x:f>
        <x:v>2000</x:v>
      </x:c>
      <x:c r="F76" s="5">
        <x:f t="shared" si="8"/>
        <x:v>22000</x:v>
      </x:c>
      <x:c r="G76" s="6"/>
      <x:c r="H76" s="299"/>
      <x:c r="I76" s="3" t="s">
        <x:v>247</x:v>
      </x:c>
      <x:c r="J76" s="3" t="s">
        <x:v>231</x:v>
      </x:c>
      <x:c r="K76" s="4">
        <x:v>21000</x:v>
      </x:c>
      <x:c r="L76" s="4">
        <x:f>+K76*0.1</x:f>
        <x:v>2100</x:v>
      </x:c>
      <x:c r="M76" s="5">
        <x:f t="shared" si="9"/>
        <x:v>23100</x:v>
      </x:c>
      <x:c r="N76" s="6"/>
    </x:row>
    <x:row r="77" spans="1:14" ht="20.100000000000001" customHeight="1">
      <x:c r="A77" s="299"/>
      <x:c r="B77" s="3"/>
      <x:c r="C77" s="3"/>
      <x:c r="D77" s="4"/>
      <x:c r="E77" s="4"/>
      <x:c r="F77" s="5">
        <x:f t="shared" si="8"/>
        <x:v>0</x:v>
      </x:c>
      <x:c r="G77" s="6"/>
      <x:c r="H77" s="299"/>
      <x:c r="I77" s="3"/>
      <x:c r="J77" s="3"/>
      <x:c r="K77" s="4"/>
      <x:c r="L77" s="4"/>
      <x:c r="M77" s="5"/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8"/>
        <x:v>0</x:v>
      </x:c>
      <x:c r="G78" s="6"/>
      <x:c r="H78" s="299"/>
      <x:c r="I78" s="3"/>
      <x:c r="J78" s="3"/>
      <x:c r="K78" s="4"/>
      <x:c r="L78" s="4"/>
      <x:c r="M78" s="5"/>
      <x:c r="N78" s="6"/>
    </x:row>
    <x:row r="79" spans="1:14" ht="20.100000000000001" customHeight="1">
      <x:c r="A79" s="300"/>
      <x:c r="B79" s="3"/>
      <x:c r="C79" s="3"/>
      <x:c r="D79" s="4"/>
      <x:c r="E79" s="4"/>
      <x:c r="F79" s="5">
        <x:f t="shared" si="8"/>
        <x:v>0</x:v>
      </x:c>
      <x:c r="G79" s="6"/>
      <x:c r="H79" s="300"/>
      <x:c r="I79" s="3"/>
      <x:c r="J79" s="3"/>
      <x:c r="K79" s="4"/>
      <x:c r="L79" s="4"/>
      <x:c r="M79" s="5">
        <x:f t="shared" si="9"/>
        <x:v>0</x:v>
      </x:c>
      <x:c r="N79" s="6"/>
    </x:row>
    <x:row r="80" spans="1:14" ht="20.100000000000001" customHeight="1">
      <x:c r="A80" s="7" t="s">
        <x:v>155</x:v>
      </x:c>
      <x:c r="B80" s="8"/>
      <x:c r="C80" s="8"/>
      <x:c r="D80" s="9">
        <x:f>SUM(D70:D79)</x:f>
        <x:v>3008310</x:v>
      </x:c>
      <x:c r="E80" s="9">
        <x:f>SUM(E70:E79)</x:f>
        <x:v>177300</x:v>
      </x:c>
      <x:c r="F80" s="10">
        <x:f>SUM(F70:F79)</x:f>
        <x:v>3185610</x:v>
      </x:c>
      <x:c r="G80" s="11"/>
      <x:c r="H80" s="7" t="s">
        <x:v>155</x:v>
      </x:c>
      <x:c r="I80" s="8"/>
      <x:c r="J80" s="8"/>
      <x:c r="K80" s="9">
        <x:f>SUM(K70:K79)</x:f>
        <x:v>3156180</x:v>
      </x:c>
      <x:c r="L80" s="9">
        <x:f>SUM(L70:L79)</x:f>
        <x:v>191600</x:v>
      </x:c>
      <x:c r="M80" s="10">
        <x:f>SUM(M70:M79)</x:f>
        <x:v>3347780</x:v>
      </x:c>
      <x:c r="N80" s="11"/>
    </x:row>
    <x:row r="81" spans="1:14" ht="20.100000000000001" customHeight="1">
      <x:c r="A81" s="12" t="s">
        <x:v>1690</x:v>
      </x:c>
      <x:c r="B81" s="13"/>
      <x:c r="C81" s="13"/>
      <x:c r="D81" s="14">
        <x:f>+D59+D64+D69+D80</x:f>
        <x:v>80520425</x:v>
      </x:c>
      <x:c r="E81" s="14">
        <x:f>+E59+E64+E69+E80</x:f>
        <x:v>3606511</x:v>
      </x:c>
      <x:c r="F81" s="15">
        <x:f>+F59+F64+F69+F80</x:f>
        <x:v>84126936</x:v>
      </x:c>
      <x:c r="G81" s="16"/>
      <x:c r="H81" s="12"/>
      <x:c r="I81" s="13"/>
      <x:c r="J81" s="13"/>
      <x:c r="K81" s="14">
        <x:f>+K59+K64+K69+K80</x:f>
        <x:v>163089506</x:v>
      </x:c>
      <x:c r="L81" s="14">
        <x:f>+L59+L64+L69+L80</x:f>
        <x:v>11986931.600000001</x:v>
      </x:c>
      <x:c r="M81" s="15">
        <x:f>+M59+M64+M69+M80</x:f>
        <x:v>175076437.59999999</x:v>
      </x:c>
      <x:c r="N81" s="16"/>
    </x:row>
    <x:row r="82" spans="1:14" ht="20.100000000000001" customHeight="1">
      <x:c r="A82" s="23" t="s">
        <x:v>35</x:v>
      </x:c>
      <x:c r="B82" s="24"/>
      <x:c r="C82" s="24"/>
      <x:c r="D82" s="25">
        <x:f>+D43-D81</x:f>
        <x:v>37735496</x:v>
      </x:c>
      <x:c r="E82" s="25">
        <x:f>+E43-E81</x:f>
        <x:v>5137568</x:v>
      </x:c>
      <x:c r="F82" s="26">
        <x:f>+F43-F81</x:f>
        <x:v>42873064</x:v>
      </x:c>
      <x:c r="G82" s="27"/>
      <x:c r="H82" s="23"/>
      <x:c r="I82" s="24"/>
      <x:c r="J82" s="24"/>
      <x:c r="K82" s="25">
        <x:f>+K43-K81</x:f>
        <x:v>84280702</x:v>
      </x:c>
      <x:c r="L82" s="25">
        <x:f>+L43-L81</x:f>
        <x:v>-9357139.6000000015</x:v>
      </x:c>
      <x:c r="M82" s="26">
        <x:f>+M43-M81</x:f>
        <x:v>74923562.400000006</x:v>
      </x:c>
      <x:c r="N82" s="27"/>
    </x:row>
    <x:row r="83" spans="1:14" ht="20.100000000000001" customHeight="1">
      <x:c r="A83" s="302" t="s">
        <x:v>1025</x:v>
      </x:c>
      <x:c r="B83" s="303"/>
      <x:c r="C83" s="303"/>
      <x:c r="D83" s="303"/>
      <x:c r="E83" s="303"/>
      <x:c r="F83" s="304"/>
      <x:c r="G83" s="305"/>
      <x:c r="H83" s="302"/>
      <x:c r="I83" s="303"/>
      <x:c r="J83" s="303"/>
      <x:c r="K83" s="303"/>
      <x:c r="L83" s="303"/>
      <x:c r="M83" s="304"/>
      <x:c r="N83" s="305"/>
    </x:row>
    <x:row r="84" spans="1:14" ht="20.100000000000001" customHeight="1">
      <x:c r="A84" s="29" t="s">
        <x:v>147</x:v>
      </x:c>
      <x:c r="B84" s="135" t="s">
        <x:v>144</x:v>
      </x:c>
      <x:c r="C84" s="135" t="s">
        <x:v>150</x:v>
      </x:c>
      <x:c r="D84" s="31" t="s">
        <x:v>145</x:v>
      </x:c>
      <x:c r="E84" s="31" t="s">
        <x:v>152</x:v>
      </x:c>
      <x:c r="F84" s="31" t="s">
        <x:v>146</x:v>
      </x:c>
      <x:c r="G84" s="34" t="s">
        <x:v>154</x:v>
      </x:c>
      <x:c r="H84" s="29" t="s">
        <x:v>147</x:v>
      </x:c>
      <x:c r="I84" s="135" t="s">
        <x:v>144</x:v>
      </x:c>
      <x:c r="J84" s="135" t="s">
        <x:v>150</x:v>
      </x:c>
      <x:c r="K84" s="31" t="s">
        <x:v>145</x:v>
      </x:c>
      <x:c r="L84" s="31" t="s">
        <x:v>152</x:v>
      </x:c>
      <x:c r="M84" s="31" t="s">
        <x:v>146</x:v>
      </x:c>
      <x:c r="N84" s="34" t="s">
        <x:v>154</x:v>
      </x:c>
    </x:row>
    <x:row r="85" spans="1:14" ht="20.100000000000001" customHeight="1">
      <x:c r="A85" s="41" t="s">
        <x:v>151</x:v>
      </x:c>
      <x:c r="B85" s="38" t="s">
        <x:v>1679</x:v>
      </x:c>
      <x:c r="C85" s="38" t="s">
        <x:v>1030</x:v>
      </x:c>
      <x:c r="D85" s="39">
        <x:v>128871856</x:v>
      </x:c>
      <x:c r="E85" s="39">
        <x:v>1128144</x:v>
      </x:c>
      <x:c r="F85" s="40">
        <x:f>+D85+E85</x:f>
        <x:v>130000000</x:v>
      </x:c>
      <x:c r="G85" s="42"/>
      <x:c r="H85" s="41" t="s">
        <x:v>151</x:v>
      </x:c>
      <x:c r="I85" s="38" t="s">
        <x:v>1679</x:v>
      </x:c>
      <x:c r="J85" s="38" t="s">
        <x:v>156</x:v>
      </x:c>
      <x:c r="K85" s="39"/>
      <x:c r="L85" s="39"/>
      <x:c r="M85" s="40">
        <x:f>+K85+L85</x:f>
        <x:v>0</x:v>
      </x:c>
      <x:c r="N85" s="42"/>
    </x:row>
    <x:row r="86" spans="1:14" ht="20.100000000000001" customHeight="1">
      <x:c r="A86" s="298" t="s">
        <x:v>148</x:v>
      </x:c>
      <x:c r="B86" s="19" t="s">
        <x:v>838</x:v>
      </x:c>
      <x:c r="C86" s="19" t="s">
        <x:v>936</x:v>
      </x:c>
      <x:c r="D86" s="20">
        <x:v>166500</x:v>
      </x:c>
      <x:c r="E86" s="20">
        <x:f>+D86*0.1</x:f>
        <x:v>16650</x:v>
      </x:c>
      <x:c r="F86" s="21">
        <x:f t="shared" ref="F86:F91" si="10">+D86+E86</x:f>
        <x:v>183150</x:v>
      </x:c>
      <x:c r="G86" s="22"/>
      <x:c r="H86" s="298" t="s">
        <x:v>148</x:v>
      </x:c>
      <x:c r="I86" s="19"/>
      <x:c r="J86" s="19"/>
      <x:c r="K86" s="20"/>
      <x:c r="L86" s="20">
        <x:f>+K86*0.1</x:f>
        <x:v>0</x:v>
      </x:c>
      <x:c r="M86" s="21">
        <x:f t="shared" ref="M86:M100" si="11">+K86+L86</x:f>
        <x:v>0</x:v>
      </x:c>
      <x:c r="N86" s="22"/>
    </x:row>
    <x:row r="87" spans="1:14" ht="20.100000000000001" customHeight="1">
      <x:c r="A87" s="299"/>
      <x:c r="B87" s="3" t="s">
        <x:v>867</x:v>
      </x:c>
      <x:c r="C87" s="3" t="s">
        <x:v>384</x:v>
      </x:c>
      <x:c r="D87" s="4"/>
      <x:c r="E87" s="4">
        <x:f>D87*0.1</x:f>
        <x:v>0</x:v>
      </x:c>
      <x:c r="F87" s="5">
        <x:f t="shared" si="10"/>
        <x:v>0</x:v>
      </x:c>
      <x:c r="G87" s="6"/>
      <x:c r="H87" s="299"/>
      <x:c r="I87" s="3"/>
      <x:c r="J87" s="3"/>
      <x:c r="K87" s="4"/>
      <x:c r="L87" s="4">
        <x:f>K87*0.1</x:f>
        <x:v>0</x:v>
      </x:c>
      <x:c r="M87" s="5">
        <x:f t="shared" si="11"/>
        <x:v>0</x:v>
      </x:c>
      <x:c r="N87" s="6"/>
    </x:row>
    <x:row r="88" spans="1:14" ht="20.100000000000001" customHeight="1">
      <x:c r="A88" s="299"/>
      <x:c r="B88" s="3" t="s">
        <x:v>840</x:v>
      </x:c>
      <x:c r="C88" s="3" t="s">
        <x:v>770</x:v>
      </x:c>
      <x:c r="D88" s="4">
        <x:v>953170</x:v>
      </x:c>
      <x:c r="E88" s="4">
        <x:f t="shared" ref="E88:E93" si="12">+D88*0.1</x:f>
        <x:v>95317</x:v>
      </x:c>
      <x:c r="F88" s="5">
        <x:f t="shared" si="10"/>
        <x:v>1048487</x:v>
      </x:c>
      <x:c r="G88" s="6"/>
      <x:c r="H88" s="299"/>
      <x:c r="I88" s="3"/>
      <x:c r="J88" s="3"/>
      <x:c r="K88" s="4"/>
      <x:c r="L88" s="4">
        <x:f t="shared" ref="L88:L100" si="13">+K88*0.1</x:f>
        <x:v>0</x:v>
      </x:c>
      <x:c r="M88" s="5">
        <x:f t="shared" si="11"/>
        <x:v>0</x:v>
      </x:c>
      <x:c r="N88" s="6"/>
    </x:row>
    <x:row r="89" spans="1:14" ht="20.100000000000001" customHeight="1">
      <x:c r="A89" s="299"/>
      <x:c r="B89" s="3" t="s">
        <x:v>1058</x:v>
      </x:c>
      <x:c r="C89" s="3" t="s">
        <x:v>387</x:v>
      </x:c>
      <x:c r="D89" s="4">
        <x:v>649700</x:v>
      </x:c>
      <x:c r="E89" s="4">
        <x:f t="shared" si="12"/>
        <x:v>64970</x:v>
      </x:c>
      <x:c r="F89" s="5">
        <x:f t="shared" si="10"/>
        <x:v>714670</x:v>
      </x:c>
      <x:c r="G89" s="6"/>
      <x:c r="H89" s="299"/>
      <x:c r="I89" s="3"/>
      <x:c r="J89" s="3"/>
      <x:c r="K89" s="4"/>
      <x:c r="L89" s="4">
        <x:f t="shared" si="13"/>
        <x:v>0</x:v>
      </x:c>
      <x:c r="M89" s="5">
        <x:f t="shared" si="11"/>
        <x:v>0</x:v>
      </x:c>
      <x:c r="N89" s="6"/>
    </x:row>
    <x:row r="90" spans="1:14" ht="20.100000000000001" customHeight="1">
      <x:c r="A90" s="299"/>
      <x:c r="B90" s="3" t="s">
        <x:v>976</x:v>
      </x:c>
      <x:c r="C90" s="3"/>
      <x:c r="D90" s="4"/>
      <x:c r="E90" s="4">
        <x:f t="shared" si="12"/>
        <x:v>0</x:v>
      </x:c>
      <x:c r="F90" s="5">
        <x:f t="shared" si="10"/>
        <x:v>0</x:v>
      </x:c>
      <x:c r="G90" s="6"/>
      <x:c r="H90" s="299"/>
      <x:c r="I90" s="3"/>
      <x:c r="J90" s="3"/>
      <x:c r="K90" s="4"/>
      <x:c r="L90" s="4">
        <x:f>+K90*0.1</x:f>
        <x:v>0</x:v>
      </x:c>
      <x:c r="M90" s="5">
        <x:f t="shared" si="11"/>
        <x:v>0</x:v>
      </x:c>
      <x:c r="N90" s="6"/>
    </x:row>
    <x:row r="91" spans="1:14" ht="20.100000000000001" customHeight="1">
      <x:c r="A91" s="299"/>
      <x:c r="B91" s="3" t="s">
        <x:v>967</x:v>
      </x:c>
      <x:c r="C91" s="3" t="s">
        <x:v>1106</x:v>
      </x:c>
      <x:c r="D91" s="4">
        <x:v>7136000</x:v>
      </x:c>
      <x:c r="E91" s="4">
        <x:f t="shared" si="12"/>
        <x:v>713600</x:v>
      </x:c>
      <x:c r="F91" s="5">
        <x:f t="shared" si="10"/>
        <x:v>7849600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1"/>
        <x:v>0</x:v>
      </x:c>
      <x:c r="N91" s="6"/>
    </x:row>
    <x:row r="92" spans="1:14" ht="20.100000000000001" customHeight="1">
      <x:c r="A92" s="299"/>
      <x:c r="B92" s="3" t="s">
        <x:v>1705</x:v>
      </x:c>
      <x:c r="C92" s="3" t="s">
        <x:v>418</x:v>
      </x:c>
      <x:c r="D92" s="4">
        <x:v>54000</x:v>
      </x:c>
      <x:c r="E92" s="4">
        <x:f t="shared" si="12"/>
        <x:v>5400</x:v>
      </x:c>
      <x:c r="F92" s="5">
        <x:f>+D92+E92</x:f>
        <x:v>59400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>+K92+L92</x:f>
        <x:v>0</x:v>
      </x:c>
      <x:c r="N92" s="6"/>
    </x:row>
    <x:row r="93" spans="1:14" ht="20.100000000000001" customHeight="1">
      <x:c r="A93" s="299"/>
      <x:c r="B93" s="3" t="s">
        <x:v>1119</x:v>
      </x:c>
      <x:c r="C93" s="3"/>
      <x:c r="D93" s="4"/>
      <x:c r="E93" s="4">
        <x:f t="shared" si="12"/>
        <x:v>0</x:v>
      </x:c>
      <x:c r="F93" s="5">
        <x:f>+D93+E93</x:f>
        <x:v>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854</x:v>
      </x:c>
      <x:c r="C94" s="3" t="s">
        <x:v>1242</x:v>
      </x:c>
      <x:c r="D94" s="4">
        <x:v>27500</x:v>
      </x:c>
      <x:c r="E94" s="4">
        <x:f t="shared" ref="E94:E100" si="14">+D94*0.1</x:f>
        <x:v>2750</x:v>
      </x:c>
      <x:c r="F94" s="5">
        <x:f t="shared" ref="F94:F100" si="15">+D94+E94</x:f>
        <x:v>30250</x:v>
      </x:c>
      <x:c r="G94" s="6"/>
      <x:c r="H94" s="299"/>
      <x:c r="I94" s="3"/>
      <x:c r="J94" s="3"/>
      <x:c r="K94" s="4"/>
      <x:c r="L94" s="4">
        <x:f t="shared" si="13"/>
        <x:v>0</x:v>
      </x:c>
      <x:c r="M94" s="5">
        <x:f t="shared" si="11"/>
        <x:v>0</x:v>
      </x:c>
      <x:c r="N94" s="6"/>
    </x:row>
    <x:row r="95" spans="1:14" ht="20.100000000000001" customHeight="1">
      <x:c r="A95" s="299"/>
      <x:c r="B95" s="3" t="s">
        <x:v>846</x:v>
      </x:c>
      <x:c r="C95" s="3" t="s">
        <x:v>1137</x:v>
      </x:c>
      <x:c r="D95" s="4">
        <x:v>1902120</x:v>
      </x:c>
      <x:c r="E95" s="4">
        <x:f>+D95*0.1-2</x:f>
        <x:v>190210</x:v>
      </x:c>
      <x:c r="F95" s="5">
        <x:f t="shared" si="15"/>
        <x:v>2092330</x:v>
      </x:c>
      <x:c r="G95" s="6"/>
      <x:c r="H95" s="299"/>
      <x:c r="I95" s="3"/>
      <x:c r="J95" s="3"/>
      <x:c r="K95" s="4"/>
      <x:c r="L95" s="4">
        <x:f t="shared" si="13"/>
        <x:v>0</x:v>
      </x:c>
      <x:c r="M95" s="5">
        <x:f t="shared" si="11"/>
        <x:v>0</x:v>
      </x:c>
      <x:c r="N95" s="6"/>
    </x:row>
    <x:row r="96" spans="1:14" ht="20.100000000000001" customHeight="1">
      <x:c r="A96" s="299"/>
      <x:c r="B96" s="3" t="s">
        <x:v>1201</x:v>
      </x:c>
      <x:c r="C96" s="3" t="s">
        <x:v>1251</x:v>
      </x:c>
      <x:c r="D96" s="4">
        <x:v>35020360</x:v>
      </x:c>
      <x:c r="E96" s="4">
        <x:f>+INT(D96*0.1)</x:f>
        <x:v>3502036</x:v>
      </x:c>
      <x:c r="F96" s="5">
        <x:f t="shared" si="15"/>
        <x:v>38522396</x:v>
      </x:c>
      <x:c r="G96" s="6"/>
      <x:c r="H96" s="299"/>
      <x:c r="I96" s="3"/>
      <x:c r="J96" s="3"/>
      <x:c r="K96" s="4"/>
      <x:c r="L96" s="4">
        <x:f t="shared" si="13"/>
        <x:v>0</x:v>
      </x:c>
      <x:c r="M96" s="5">
        <x:f t="shared" si="11"/>
        <x:v>0</x:v>
      </x:c>
      <x:c r="N96" s="6"/>
    </x:row>
    <x:row r="97" spans="1:14" ht="20.100000000000001" customHeight="1">
      <x:c r="A97" s="299"/>
      <x:c r="B97" s="129" t="s">
        <x:v>766</x:v>
      </x:c>
      <x:c r="C97" s="129" t="s">
        <x:v>1258</x:v>
      </x:c>
      <x:c r="D97" s="4"/>
      <x:c r="E97" s="4">
        <x:f>+D97*0.1</x:f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3"/>
        <x:v>0</x:v>
      </x:c>
      <x:c r="M97" s="5">
        <x:f t="shared" si="11"/>
        <x:v>0</x:v>
      </x:c>
      <x:c r="N97" s="6"/>
    </x:row>
    <x:row r="98" spans="1:14" ht="20.100000000000001" customHeight="1">
      <x:c r="A98" s="299"/>
      <x:c r="B98" s="129" t="s">
        <x:v>762</x:v>
      </x:c>
      <x:c r="C98" s="129" t="s">
        <x:v>759</x:v>
      </x:c>
      <x:c r="D98" s="130"/>
      <x:c r="E98" s="130">
        <x:f>+INT(D98*0.1)</x:f>
        <x:v>0</x:v>
      </x:c>
      <x:c r="F98" s="131">
        <x:f t="shared" si="15"/>
        <x:v>0</x:v>
      </x:c>
      <x:c r="G98" s="132"/>
      <x:c r="H98" s="299"/>
      <x:c r="I98" s="3"/>
      <x:c r="J98" s="3"/>
      <x:c r="K98" s="4"/>
      <x:c r="L98" s="4">
        <x:f t="shared" si="13"/>
        <x:v>0</x:v>
      </x:c>
      <x:c r="M98" s="5">
        <x:f t="shared" si="11"/>
        <x:v>0</x:v>
      </x:c>
      <x:c r="N98" s="6"/>
    </x:row>
    <x:row r="99" spans="1:14" ht="20.100000000000001" customHeight="1">
      <x:c r="A99" s="299"/>
      <x:c r="B99" s="3" t="s">
        <x:v>1209</x:v>
      </x:c>
      <x:c r="C99" s="3" t="s">
        <x:v>1218</x:v>
      </x:c>
      <x:c r="D99" s="4">
        <x:v>7380000</x:v>
      </x:c>
      <x:c r="E99" s="4">
        <x:f t="shared" si="14"/>
        <x:v>738000</x:v>
      </x:c>
      <x:c r="F99" s="5">
        <x:f t="shared" si="15"/>
        <x:v>8118000</x:v>
      </x:c>
      <x:c r="G99" s="6"/>
      <x:c r="H99" s="299"/>
      <x:c r="I99" s="3"/>
      <x:c r="J99" s="3"/>
      <x:c r="K99" s="4"/>
      <x:c r="L99" s="4">
        <x:f t="shared" si="13"/>
        <x:v>0</x:v>
      </x:c>
      <x:c r="M99" s="5">
        <x:f t="shared" si="11"/>
        <x:v>0</x:v>
      </x:c>
      <x:c r="N99" s="6"/>
    </x:row>
    <x:row r="100" spans="1:14" ht="20.100000000000001" customHeight="1">
      <x:c r="A100" s="300"/>
      <x:c r="B100" s="3" t="s">
        <x:v>1039</x:v>
      </x:c>
      <x:c r="C100" s="3" t="s">
        <x:v>253</x:v>
      </x:c>
      <x:c r="D100" s="4">
        <x:v>270000</x:v>
      </x:c>
      <x:c r="E100" s="4">
        <x:f t="shared" si="14"/>
        <x:v>27000</x:v>
      </x:c>
      <x:c r="F100" s="5">
        <x:f t="shared" si="15"/>
        <x:v>297000</x:v>
      </x:c>
      <x:c r="G100" s="6"/>
      <x:c r="H100" s="300"/>
      <x:c r="I100" s="3"/>
      <x:c r="J100" s="3"/>
      <x:c r="K100" s="4"/>
      <x:c r="L100" s="4">
        <x:f t="shared" si="13"/>
        <x:v>0</x:v>
      </x:c>
      <x:c r="M100" s="5">
        <x:f t="shared" si="11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SUM(D86:D100)</x:f>
        <x:v>53559350</x:v>
      </x:c>
      <x:c r="E101" s="9">
        <x:f>SUM(E86:E100)</x:f>
        <x:v>5355933</x:v>
      </x:c>
      <x:c r="F101" s="10">
        <x:f>SUM(F86:F100)</x:f>
        <x:v>58915283</x:v>
      </x:c>
      <x:c r="G101" s="11"/>
      <x:c r="H101" s="7"/>
      <x:c r="I101" s="8"/>
      <x:c r="J101" s="8"/>
      <x:c r="K101" s="9">
        <x:f>SUM(K86:K100)</x:f>
        <x:v>0</x:v>
      </x:c>
      <x:c r="L101" s="9">
        <x:f>SUM(L86:L100)</x:f>
        <x:v>0</x:v>
      </x:c>
      <x:c r="M101" s="10">
        <x:f>SUM(M86:M100)</x:f>
        <x:v>0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24530000</x:v>
      </x:c>
      <x:c r="E102" s="4"/>
      <x:c r="F102" s="5">
        <x:f>+D102+E102</x:f>
        <x:v>24530000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979</x:v>
      </x:c>
      <x:c r="C103" s="3" t="s">
        <x:v>1230</x:v>
      </x:c>
      <x:c r="D103" s="4">
        <x:v>5616000</x:v>
      </x:c>
      <x:c r="E103" s="4">
        <x:f>+D103*0.1</x:f>
        <x:v>561600</x:v>
      </x:c>
      <x:c r="F103" s="5">
        <x:f>+D103+E103</x:f>
        <x:v>6177600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30146000</x:v>
      </x:c>
      <x:c r="E106" s="9">
        <x:f>SUM(E102:E105)</x:f>
        <x:v>561600</x:v>
      </x:c>
      <x:c r="F106" s="10">
        <x:f>SUM(F102:F105)</x:f>
        <x:v>30707600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1124</x:v>
      </x:c>
      <x:c r="C107" s="3" t="s">
        <x:v>1126</x:v>
      </x:c>
      <x:c r="D107" s="4"/>
      <x:c r="E107" s="4">
        <x:f>+D107*0.1</x:f>
        <x:v>0</x:v>
      </x:c>
      <x:c r="F107" s="5">
        <x:f>+D107+E107</x:f>
        <x:v>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360000</x:v>
      </x:c>
      <x:c r="E108" s="4">
        <x:f>+D108*0.1</x:f>
        <x:v>36000</x:v>
      </x:c>
      <x:c r="F108" s="5">
        <x:f>+D108+E108</x:f>
        <x:v>396000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360000</x:v>
      </x:c>
      <x:c r="E111" s="9">
        <x:f>SUM(E107:E110)</x:f>
        <x:v>36000</x:v>
      </x:c>
      <x:c r="F111" s="10">
        <x:f>SUM(F107:F110)</x:f>
        <x:v>396000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401960</x:v>
      </x:c>
      <x:c r="E112" s="4"/>
      <x:c r="F112" s="5">
        <x:f t="shared" ref="F112:F117" si="16">+D112+E112</x:f>
        <x:v>401960</x:v>
      </x:c>
      <x:c r="G112" s="6"/>
      <x:c r="H112" s="301" t="s">
        <x:v>149</x:v>
      </x:c>
      <x:c r="I112" s="3"/>
      <x:c r="J112" s="3"/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/>
      <x:c r="D113" s="4"/>
      <x:c r="E113" s="4">
        <x:f>+D113*0.1</x:f>
        <x:v>0</x:v>
      </x:c>
      <x:c r="F113" s="5">
        <x:f t="shared" si="16"/>
        <x:v>0</x:v>
      </x:c>
      <x:c r="G113" s="6" t="s">
        <x:v>1259</x:v>
      </x:c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>+D114*0.1</x:f>
        <x:v>8000</x:v>
      </x:c>
      <x:c r="F114" s="5">
        <x:f t="shared" si="16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768000</x:v>
      </x:c>
      <x:c r="E115" s="4">
        <x:f>+D115*0.1</x:f>
        <x:v>76800</x:v>
      </x:c>
      <x:c r="F115" s="5">
        <x:f t="shared" si="16"/>
        <x:v>844800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87000</x:v>
      </x:c>
      <x:c r="E116" s="4">
        <x:f>+D116*0.1</x:f>
        <x:v>8700</x:v>
      </x:c>
      <x:c r="F116" s="5">
        <x:f t="shared" si="16"/>
        <x:v>95700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 t="s">
        <x:v>247</x:v>
      </x:c>
      <x:c r="C117" s="3" t="s">
        <x:v>231</x:v>
      </x:c>
      <x:c r="D117" s="4">
        <x:v>21000</x:v>
      </x:c>
      <x:c r="E117" s="4">
        <x:f>+D117*0.1</x:f>
        <x:v>2100</x:v>
      </x:c>
      <x:c r="F117" s="5">
        <x:f t="shared" si="16"/>
        <x:v>23100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/>
      <x:c r="C118" s="3"/>
      <x:c r="D118" s="4"/>
      <x:c r="E118" s="4"/>
      <x:c r="F118" s="5"/>
      <x:c r="G118" s="6"/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/>
      <x:c r="C119" s="3"/>
      <x:c r="D119" s="4"/>
      <x:c r="E119" s="4"/>
      <x:c r="F119" s="5"/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1357960</x:v>
      </x:c>
      <x:c r="E122" s="9">
        <x:f>SUM(E112:E121)</x:f>
        <x:v>95600</x:v>
      </x:c>
      <x:c r="F122" s="10">
        <x:f>SUM(F112:F121)</x:f>
        <x:v>1453560</x:v>
      </x:c>
      <x:c r="G122" s="11"/>
      <x:c r="H122" s="7"/>
      <x:c r="I122" s="8"/>
      <x:c r="J122" s="8"/>
      <x:c r="K122" s="9">
        <x:f>SUM(K112:K121)</x:f>
        <x:v>0</x:v>
      </x:c>
      <x:c r="L122" s="9">
        <x:f>SUM(L112:L121)</x:f>
        <x:v>0</x:v>
      </x:c>
      <x:c r="M122" s="10">
        <x:f>SUM(M112:M121)</x:f>
        <x:v>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85423310</x:v>
      </x:c>
      <x:c r="E123" s="14">
        <x:f>+E101+E106+E111+E122</x:f>
        <x:v>6049133</x:v>
      </x:c>
      <x:c r="F123" s="15">
        <x:f>+F101+F106+F111+F122</x:f>
        <x:v>91472443</x:v>
      </x:c>
      <x:c r="G123" s="16"/>
      <x:c r="H123" s="12"/>
      <x:c r="I123" s="13"/>
      <x:c r="J123" s="13"/>
      <x:c r="K123" s="14">
        <x:f>+K101+K106+K111+K122</x:f>
        <x:v>0</x:v>
      </x:c>
      <x:c r="L123" s="14">
        <x:f>+L101+L106+L111+L122</x:f>
        <x:v>0</x:v>
      </x:c>
      <x:c r="M123" s="15">
        <x:f>+M101+M106+M111+M122</x:f>
        <x:v>0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+D85-D123</x:f>
        <x:v>43448546</x:v>
      </x:c>
      <x:c r="E124" s="25">
        <x:f>+E85-E123</x:f>
        <x:v>-4920989</x:v>
      </x:c>
      <x:c r="F124" s="26">
        <x:f>+F85-F123</x:f>
        <x:v>38527557</x:v>
      </x:c>
      <x:c r="G124" s="27"/>
      <x:c r="H124" s="23"/>
      <x:c r="I124" s="24"/>
      <x:c r="J124" s="24"/>
      <x:c r="K124" s="25">
        <x:f>+K85-K123</x:f>
        <x:v>0</x:v>
      </x:c>
      <x:c r="L124" s="25">
        <x:f>+L85-L123</x:f>
        <x:v>0</x:v>
      </x:c>
      <x:c r="M124" s="26">
        <x:f>+M85-M123</x:f>
        <x:v>0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35" t="s">
        <x:v>144</x:v>
      </x:c>
      <x:c r="C126" s="135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35" t="s">
        <x:v>144</x:v>
      </x:c>
      <x:c r="J126" s="135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34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17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17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18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17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18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17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18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7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18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7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8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19">+INT(D133*0.1)</x:f>
        <x:v>0</x:v>
      </x:c>
      <x:c r="F133" s="5">
        <x:f t="shared" si="17"/>
        <x:v>0</x:v>
      </x:c>
      <x:c r="G133" s="6"/>
      <x:c r="H133" s="299"/>
      <x:c r="I133" s="3"/>
      <x:c r="J133" s="3"/>
      <x:c r="K133" s="4"/>
      <x:c r="L133" s="4">
        <x:f t="shared" ref="L133:L142" si="20">+K133*0.1</x:f>
        <x:v>0</x:v>
      </x:c>
      <x:c r="M133" s="5">
        <x:f t="shared" si="18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19"/>
        <x:v>0</x:v>
      </x:c>
      <x:c r="F134" s="5">
        <x:f t="shared" si="17"/>
        <x:v>0</x:v>
      </x:c>
      <x:c r="G134" s="6"/>
      <x:c r="H134" s="299"/>
      <x:c r="I134" s="3"/>
      <x:c r="J134" s="3"/>
      <x:c r="K134" s="4"/>
      <x:c r="L134" s="4">
        <x:f t="shared" si="20"/>
        <x:v>0</x:v>
      </x:c>
      <x:c r="M134" s="5">
        <x:f t="shared" si="18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19"/>
        <x:v>0</x:v>
      </x:c>
      <x:c r="F135" s="5">
        <x:f t="shared" si="17"/>
        <x:v>0</x:v>
      </x:c>
      <x:c r="G135" s="6"/>
      <x:c r="H135" s="299"/>
      <x:c r="I135" s="3"/>
      <x:c r="J135" s="3"/>
      <x:c r="K135" s="4"/>
      <x:c r="L135" s="4">
        <x:f t="shared" si="20"/>
        <x:v>0</x:v>
      </x:c>
      <x:c r="M135" s="5">
        <x:f t="shared" si="18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19"/>
        <x:v>0</x:v>
      </x:c>
      <x:c r="F136" s="5">
        <x:f t="shared" si="17"/>
        <x:v>0</x:v>
      </x:c>
      <x:c r="G136" s="6"/>
      <x:c r="H136" s="299"/>
      <x:c r="I136" s="3"/>
      <x:c r="J136" s="3"/>
      <x:c r="K136" s="4"/>
      <x:c r="L136" s="4">
        <x:f t="shared" si="20"/>
        <x:v>0</x:v>
      </x:c>
      <x:c r="M136" s="5">
        <x:f t="shared" si="18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19"/>
        <x:v>0</x:v>
      </x:c>
      <x:c r="F137" s="5">
        <x:f t="shared" si="17"/>
        <x:v>0</x:v>
      </x:c>
      <x:c r="G137" s="6"/>
      <x:c r="H137" s="299"/>
      <x:c r="I137" s="3"/>
      <x:c r="J137" s="3"/>
      <x:c r="K137" s="4"/>
      <x:c r="L137" s="4">
        <x:f t="shared" si="20"/>
        <x:v>0</x:v>
      </x:c>
      <x:c r="M137" s="5">
        <x:f t="shared" si="18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19"/>
        <x:v>0</x:v>
      </x:c>
      <x:c r="F138" s="5">
        <x:f t="shared" si="17"/>
        <x:v>0</x:v>
      </x:c>
      <x:c r="G138" s="6"/>
      <x:c r="H138" s="299"/>
      <x:c r="I138" s="3"/>
      <x:c r="J138" s="3"/>
      <x:c r="K138" s="4"/>
      <x:c r="L138" s="4">
        <x:f t="shared" si="20"/>
        <x:v>0</x:v>
      </x:c>
      <x:c r="M138" s="5">
        <x:f t="shared" si="18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19"/>
        <x:v>0</x:v>
      </x:c>
      <x:c r="F139" s="5">
        <x:f t="shared" si="17"/>
        <x:v>0</x:v>
      </x:c>
      <x:c r="G139" s="6"/>
      <x:c r="H139" s="299"/>
      <x:c r="I139" s="3"/>
      <x:c r="J139" s="3"/>
      <x:c r="K139" s="4"/>
      <x:c r="L139" s="4">
        <x:f t="shared" si="20"/>
        <x:v>0</x:v>
      </x:c>
      <x:c r="M139" s="5">
        <x:f t="shared" si="18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19"/>
        <x:v>0</x:v>
      </x:c>
      <x:c r="F140" s="5">
        <x:f t="shared" si="17"/>
        <x:v>0</x:v>
      </x:c>
      <x:c r="G140" s="6"/>
      <x:c r="H140" s="299"/>
      <x:c r="I140" s="3"/>
      <x:c r="J140" s="3"/>
      <x:c r="K140" s="4"/>
      <x:c r="L140" s="4">
        <x:f t="shared" si="20"/>
        <x:v>0</x:v>
      </x:c>
      <x:c r="M140" s="5">
        <x:f t="shared" si="18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19"/>
        <x:v>0</x:v>
      </x:c>
      <x:c r="F141" s="5">
        <x:f t="shared" si="17"/>
        <x:v>0</x:v>
      </x:c>
      <x:c r="G141" s="6"/>
      <x:c r="H141" s="299"/>
      <x:c r="I141" s="3"/>
      <x:c r="J141" s="3"/>
      <x:c r="K141" s="4"/>
      <x:c r="L141" s="4">
        <x:f t="shared" si="20"/>
        <x:v>0</x:v>
      </x:c>
      <x:c r="M141" s="5">
        <x:f t="shared" si="18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0"/>
        <x:v>0</x:v>
      </x:c>
      <x:c r="M142" s="5">
        <x:f t="shared" si="18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1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1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1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2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1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2"/>
        <x:v>0</x:v>
      </x:c>
      <x:c r="G158" s="6"/>
      <x:c r="H158" s="299"/>
      <x:c r="I158" s="3"/>
      <x:c r="J158" s="3"/>
      <x:c r="K158" s="4"/>
      <x:c r="L158" s="4">
        <x:f t="shared" ref="L158:L163" si="23">+K158*0.1</x:f>
        <x:v>0</x:v>
      </x:c>
      <x:c r="M158" s="5">
        <x:f t="shared" si="21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2"/>
        <x:v>0</x:v>
      </x:c>
      <x:c r="G159" s="6"/>
      <x:c r="H159" s="299"/>
      <x:c r="I159" s="3"/>
      <x:c r="J159" s="3"/>
      <x:c r="K159" s="4"/>
      <x:c r="L159" s="4">
        <x:f t="shared" si="23"/>
        <x:v>0</x:v>
      </x:c>
      <x:c r="M159" s="5">
        <x:f t="shared" si="21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2"/>
        <x:v>0</x:v>
      </x:c>
      <x:c r="G160" s="6"/>
      <x:c r="H160" s="299"/>
      <x:c r="I160" s="3"/>
      <x:c r="J160" s="3"/>
      <x:c r="K160" s="4"/>
      <x:c r="L160" s="4">
        <x:f t="shared" si="23"/>
        <x:v>0</x:v>
      </x:c>
      <x:c r="M160" s="5">
        <x:f t="shared" si="21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2"/>
        <x:v>0</x:v>
      </x:c>
      <x:c r="G161" s="6"/>
      <x:c r="H161" s="299"/>
      <x:c r="I161" s="3"/>
      <x:c r="J161" s="3"/>
      <x:c r="K161" s="4"/>
      <x:c r="L161" s="4">
        <x:f t="shared" si="23"/>
        <x:v>0</x:v>
      </x:c>
      <x:c r="M161" s="5">
        <x:f t="shared" si="21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2"/>
        <x:v>0</x:v>
      </x:c>
      <x:c r="G162" s="6"/>
      <x:c r="H162" s="299"/>
      <x:c r="I162" s="3"/>
      <x:c r="J162" s="3"/>
      <x:c r="K162" s="4"/>
      <x:c r="L162" s="4">
        <x:f t="shared" si="23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2"/>
        <x:v>0</x:v>
      </x:c>
      <x:c r="G163" s="6"/>
      <x:c r="H163" s="300"/>
      <x:c r="I163" s="3"/>
      <x:c r="J163" s="3"/>
      <x:c r="K163" s="4"/>
      <x:c r="L163" s="4">
        <x:f t="shared" si="23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+D17+D59+D101+D143</x:f>
        <x:v>86651465</x:v>
      </x:c>
      <x:c r="E169" s="2">
        <x:f>+E17+E59+E101+E143</x:f>
        <x:v>8665144</x:v>
      </x:c>
      <x:c r="F169" s="2">
        <x:f>+F17+F59+F101+F143</x:f>
        <x:v>95316609</x:v>
      </x:c>
      <x:c r="K169" s="2">
        <x:f>+K17+K59+K101+K143</x:f>
        <x:v>127607226</x:v>
      </x:c>
      <x:c r="L169" s="2">
        <x:f>+L17+L59+L101+L143</x:f>
        <x:v>12760721.600000001</x:v>
      </x:c>
      <x:c r="M169" s="2">
        <x:f>+M17+M59+M101+M143</x:f>
        <x:v>140367947.59999999</x:v>
      </x:c>
    </x:row>
    <x:row r="170" spans="1:13">
      <x:c r="A170" s="1" t="s">
        <x:v>153</x:v>
      </x:c>
      <x:c r="D170" s="2">
        <x:f>+D22+D64+D106+D148</x:f>
        <x:v>91390500</x:v>
      </x:c>
      <x:c r="E170" s="2">
        <x:f>+E22+E64+E106+E148</x:f>
        <x:v>561600</x:v>
      </x:c>
      <x:c r="F170" s="2">
        <x:f>+F22+F64+F106+F148</x:f>
        <x:v>91952100</x:v>
      </x:c>
      <x:c r="K170" s="2">
        <x:f>+K22+K64+K106+K148</x:f>
        <x:v>62270000</x:v>
      </x:c>
      <x:c r="L170" s="2">
        <x:f>+L22+L64+L106+L148</x:f>
        <x:v>0</x:v>
      </x:c>
      <x:c r="M170" s="2">
        <x:f>+M22+M64+M106+M148</x:f>
        <x:v>62270000</x:v>
      </x:c>
    </x:row>
    <x:row r="171" spans="1:13" s="2" customFormat="1">
      <x:c r="A171" s="1" t="s">
        <x:v>187</x:v>
      </x:c>
      <x:c r="B171" s="1"/>
      <x:c r="C171" s="1"/>
      <x:c r="D171" s="2">
        <x:f>+D27+D69+D111+D153</x:f>
        <x:v>1560000</x:v>
      </x:c>
      <x:c r="E171" s="2">
        <x:f>+E27+E69+E111+E153</x:f>
        <x:v>156000</x:v>
      </x:c>
      <x:c r="F171" s="2">
        <x:f>+F27+F69+F111+F153</x:f>
        <x:v>1716000</x:v>
      </x:c>
      <x:c r="H171" s="1"/>
      <x:c r="I171" s="1"/>
      <x:c r="J171" s="1"/>
      <x:c r="K171" s="2">
        <x:f>+K27+K69+K111+K153</x:f>
        <x:v>820000</x:v>
      </x:c>
      <x:c r="L171" s="2">
        <x:f>+L27+L69+L111+L153</x:f>
        <x:v>82000</x:v>
      </x:c>
      <x:c r="M171" s="2">
        <x:f>+M27+M69+M111+M153</x:f>
        <x:v>902000</x:v>
      </x:c>
    </x:row>
    <x:row r="172" spans="1:13" s="2" customFormat="1">
      <x:c r="A172" s="1" t="s">
        <x:v>149</x:v>
      </x:c>
      <x:c r="B172" s="1"/>
      <x:c r="C172" s="1"/>
      <x:c r="D172" s="2">
        <x:f>+D38+D80+D122+D164</x:f>
        <x:v>6643636</x:v>
      </x:c>
      <x:c r="E172" s="2">
        <x:f>+E38+E80+E122+E164</x:f>
        <x:v>317554</x:v>
      </x:c>
      <x:c r="F172" s="2">
        <x:f>+F38+F80+F122+F164</x:f>
        <x:v>6961190</x:v>
      </x:c>
      <x:c r="H172" s="1"/>
      <x:c r="I172" s="1"/>
      <x:c r="J172" s="1"/>
      <x:c r="K172" s="2">
        <x:f>+K38+K80+K122+K164</x:f>
        <x:v>5494725</x:v>
      </x:c>
      <x:c r="L172" s="2">
        <x:f>+L38+L80+L122+L164</x:f>
        <x:v>329154.5</x:v>
      </x:c>
      <x:c r="M172" s="2">
        <x:f>+M38+M80+M122+M164</x:f>
        <x:v>5823879.5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186245601</x:v>
      </x:c>
      <x:c r="E173" s="2">
        <x:f>SUM(E169:E172)</x:f>
        <x:v>9700298</x:v>
      </x:c>
      <x:c r="F173" s="2">
        <x:f>SUM(F169:F172)</x:f>
        <x:v>195945899</x:v>
      </x:c>
      <x:c r="H173" s="1"/>
      <x:c r="I173" s="1"/>
      <x:c r="J173" s="1"/>
      <x:c r="K173" s="2">
        <x:f>SUM(K169:K172)</x:f>
        <x:v>196191951</x:v>
      </x:c>
      <x:c r="L173" s="2">
        <x:f>SUM(L169:L172)</x:f>
        <x:v>13171876.100000001</x:v>
      </x:c>
      <x:c r="M173" s="2">
        <x:f>SUM(M169:M172)</x:f>
        <x:v>209363827.09999999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214258691</x:v>
      </x:c>
      <x:c r="E176" s="2">
        <x:f>+E169+L169</x:f>
        <x:v>21425865.600000001</x:v>
      </x:c>
      <x:c r="F176" s="2">
        <x:f>+F169+M169</x:f>
        <x:v>235684556.59999999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4">+D170+K170</x:f>
        <x:v>153660500</x:v>
      </x:c>
      <x:c r="E177" s="2">
        <x:f t="shared" si="24"/>
        <x:v>561600</x:v>
      </x:c>
      <x:c r="F177" s="2">
        <x:f t="shared" si="24"/>
        <x:v>154222100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4"/>
        <x:v>2380000</x:v>
      </x:c>
      <x:c r="E178" s="2">
        <x:f t="shared" si="24"/>
        <x:v>238000</x:v>
      </x:c>
      <x:c r="F178" s="2">
        <x:f t="shared" si="24"/>
        <x:v>2618000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4"/>
        <x:v>12138361</x:v>
      </x:c>
      <x:c r="E179" s="2">
        <x:f t="shared" si="24"/>
        <x:v>646708.5</x:v>
      </x:c>
      <x:c r="F179" s="2">
        <x:f t="shared" si="24"/>
        <x:v>12785069.5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382437552</x:v>
      </x:c>
      <x:c r="E180" s="2">
        <x:f>SUM(E176:E179)</x:f>
        <x:v>22872174.100000001</x:v>
      </x:c>
      <x:c r="F180" s="2">
        <x:f>SUM(F176:F179)</x:f>
        <x:v>405309726.10000002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D4+D43+D85+K4+K43+K85+D127+K127</x:f>
        <x:v>554357985</x:v>
      </x:c>
      <x:c r="E181" s="2">
        <x:f>E4+E43+E85+L4+L43+L85</x:f>
        <x:v>12642015</x:v>
      </x:c>
      <x:c r="F181" s="2">
        <x:f>F4+F43+F85+M4+M43+M85</x:f>
        <x:v>567000000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171920433</x:v>
      </x:c>
      <x:c r="E182" s="2">
        <x:f>+E181-E180</x:f>
        <x:v>-10230159.100000001</x:v>
      </x:c>
      <x:c r="F182" s="2">
        <x:f>+F181-F180</x:f>
        <x:v>161690273.89999998</x:v>
      </x:c>
      <x:c r="H182" s="1"/>
      <x:c r="I182" s="1"/>
      <x:c r="J182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8"/>
    <x:mergeCell ref="H44:H58"/>
    <x:mergeCell ref="A60:A63"/>
    <x:mergeCell ref="H60:H63"/>
    <x:mergeCell ref="A65:A68"/>
    <x:mergeCell ref="H65:H68"/>
    <x:mergeCell ref="A70:A79"/>
    <x:mergeCell ref="H70:H79"/>
    <x:mergeCell ref="A83:G83"/>
    <x:mergeCell ref="H83:N83"/>
    <x:mergeCell ref="A86:A100"/>
    <x:mergeCell ref="H86:H100"/>
    <x:mergeCell ref="A102:A105"/>
    <x:mergeCell ref="H102:H105"/>
    <x:mergeCell ref="A107:A110"/>
    <x:mergeCell ref="H107:H110"/>
    <x:mergeCell ref="A112:A121"/>
    <x:mergeCell ref="H112:H121"/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</x:mergeCells>
  <x:pageMargins left="0.7086111307144165" right="0.7086111307144165" top="0.39361110329627991" bottom="0.39361110329627991" header="0.31486111879348755" footer="0.31486111879348755"/>
  <x:pageSetup paperSize="9" scale="60" firstPageNumber="1" fitToWidth="1" fitToHeight="1" orientation="landscape" usePrinterDefaults="1" blackAndWhite="0" draft="0" useFirstPageNumber="0" horizontalDpi="600" verticalDpi="600" copies="1"/>
  <x:rowBreaks count="1" manualBreakCount="1">
    <x:brk id="40" min="0" max="1048575" man="1" pt="0"/>
  </x:rowBreaks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S113"/>
  <x:sheetViews>
    <x:sheetView view="pageBreakPreview" topLeftCell="A1" zoomScaleNormal="100" zoomScaleSheetLayoutView="100" workbookViewId="0">
      <x:selection activeCell="D24" activeCellId="0" sqref="D24:D24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36"/>
      <x:c r="C2" s="136"/>
      <x:c r="D2" s="136"/>
      <x:c r="E2" s="136"/>
      <x:c r="F2" s="136"/>
      <x:c r="G2" s="136"/>
      <x:c r="H2" s="136"/>
      <x:c r="I2" s="136"/>
      <x:c r="J2" s="136"/>
      <x:c r="K2" s="136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38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'20년11월(세부내역)'!D4</x:f>
        <x:v>0</x:v>
      </x:c>
      <x:c r="F5" s="67">
        <x:f>'20년11월(세부내역)'!D17</x:f>
        <x:v>30062700</x:v>
      </x:c>
      <x:c r="G5" s="67">
        <x:f>'20년11월(세부내역)'!D22</x:f>
        <x:v>24950000</x:v>
      </x:c>
      <x:c r="H5" s="67">
        <x:f>'20년11월(세부내역)'!D27</x:f>
        <x:v>0</x:v>
      </x:c>
      <x:c r="I5" s="67">
        <x:f>'20년11월(세부내역)'!D38</x:f>
        <x:v>12018305</x:v>
      </x:c>
      <x:c r="J5" s="75">
        <x:f t="shared" ref="J5:J10" si="0">+SUM(F5:I5)</x:f>
        <x:v>67031005</x:v>
      </x:c>
      <x:c r="K5" s="139">
        <x:f t="shared" ref="K5:K10" si="1">E5-J5</x:f>
        <x:v>-67031005</x:v>
      </x:c>
      <x:c r="L5" s="67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'20년11월(세부내역)'!K4</x:f>
        <x:v>31930000</x:v>
      </x:c>
      <x:c r="F6" s="59">
        <x:f>+'20년11월(세부내역)'!K17</x:f>
        <x:v>11301516</x:v>
      </x:c>
      <x:c r="G6" s="59">
        <x:f>'20년11월(세부내역)'!K22</x:f>
        <x:v>17820000</x:v>
      </x:c>
      <x:c r="H6" s="59">
        <x:f>'20년11월(세부내역)'!K27</x:f>
        <x:v>50000</x:v>
      </x:c>
      <x:c r="I6" s="59">
        <x:f>'20년11월(세부내역)'!K38</x:f>
        <x:v>2021337</x:v>
      </x:c>
      <x:c r="J6" s="75">
        <x:f t="shared" si="0"/>
        <x:v>31192853</x:v>
      </x:c>
      <x:c r="K6" s="140">
        <x:f t="shared" si="1"/>
        <x:v>737147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114</x:v>
      </x:c>
      <x:c r="E7" s="74">
        <x:f>'20년11월(세부내역)'!D43</x:f>
        <x:v>0</x:v>
      </x:c>
      <x:c r="F7" s="59">
        <x:f>+'20년11월(세부내역)'!D60</x:f>
        <x:v>84816605</x:v>
      </x:c>
      <x:c r="G7" s="59">
        <x:f>'20년11월(세부내역)'!D65</x:f>
        <x:v>41570000</x:v>
      </x:c>
      <x:c r="H7" s="59">
        <x:f>'20년11월(세부내역)'!D70</x:f>
        <x:v>950000</x:v>
      </x:c>
      <x:c r="I7" s="59">
        <x:f>'20년11월(세부내역)'!D81</x:f>
        <x:v>4060630</x:v>
      </x:c>
      <x:c r="J7" s="75">
        <x:f t="shared" si="0"/>
        <x:v>131397235</x:v>
      </x:c>
      <x:c r="K7" s="141">
        <x:f t="shared" si="1"/>
        <x:v>-131397235</x:v>
      </x:c>
      <x:c r="L7" s="119" t="s">
        <x:v>788</x:v>
      </x:c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108</x:v>
      </x:c>
      <x:c r="E8" s="74">
        <x:f>'20년11월(세부내역)'!K43</x:f>
        <x:v>39579234</x:v>
      </x:c>
      <x:c r="F8" s="59">
        <x:f>'20년11월(세부내역)'!K60</x:f>
        <x:v>47843735</x:v>
      </x:c>
      <x:c r="G8" s="59">
        <x:f>'20년11월(세부내역)'!K65</x:f>
        <x:v>43560000</x:v>
      </x:c>
      <x:c r="H8" s="59">
        <x:f>'20년11월(세부내역)'!K70</x:f>
        <x:v>300000</x:v>
      </x:c>
      <x:c r="I8" s="59">
        <x:f>'20년11월(세부내역)'!K81</x:f>
        <x:v>10259980</x:v>
      </x:c>
      <x:c r="J8" s="75">
        <x:f t="shared" si="0"/>
        <x:v>101963715</x:v>
      </x:c>
      <x:c r="K8" s="141">
        <x:f t="shared" si="1"/>
        <x:v>-62384481</x:v>
      </x:c>
      <x:c r="L8" s="119"/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103</x:v>
      </x:c>
      <x:c r="E9" s="74">
        <x:f>'20년11월(세부내역)'!D86</x:f>
        <x:v>39652879</x:v>
      </x:c>
      <x:c r="F9" s="59">
        <x:f>'20년11월(세부내역)'!D101</x:f>
        <x:v>38383907</x:v>
      </x:c>
      <x:c r="G9" s="59">
        <x:f>'20년11월(세부내역)'!D106</x:f>
        <x:v>22700000</x:v>
      </x:c>
      <x:c r="H9" s="59">
        <x:f>'20년11월(세부내역)'!D111</x:f>
        <x:v>710000</x:v>
      </x:c>
      <x:c r="I9" s="59">
        <x:f>'20년11월(세부내역)'!D122</x:f>
        <x:v>7372800</x:v>
      </x:c>
      <x:c r="J9" s="75">
        <x:f>+SUM(F9:I9)</x:f>
        <x:v>69166707</x:v>
      </x:c>
      <x:c r="K9" s="141">
        <x:f>E9-J9</x:f>
        <x:v>-29513828</x:v>
      </x:c>
      <x:c r="L9" s="119"/>
    </x:row>
    <x:row r="10" spans="1:12" ht="30" customHeight="1">
      <x:c r="A10" s="63">
        <x:v>6</x:v>
      </x:c>
      <x:c r="B10" s="63" t="s">
        <x:v>779</x:v>
      </x:c>
      <x:c r="C10" s="63" t="s">
        <x:v>156</x:v>
      </x:c>
      <x:c r="D10" s="115">
        <x:v>20.120000000000001</x:v>
      </x:c>
      <x:c r="E10" s="74">
        <x:f>'20년11월(세부내역)'!K86</x:f>
        <x:v>0</x:v>
      </x:c>
      <x:c r="F10" s="59">
        <x:f>'20년11월(세부내역)'!K101</x:f>
        <x:v>4292366</x:v>
      </x:c>
      <x:c r="G10" s="59">
        <x:f>'20년11월(세부내역)'!K106</x:f>
        <x:v>0</x:v>
      </x:c>
      <x:c r="H10" s="59">
        <x:f>'20년11월(세부내역)'!K111</x:f>
        <x:v>0</x:v>
      </x:c>
      <x:c r="I10" s="59">
        <x:f>'20년11월(세부내역)'!K122</x:f>
        <x:v>143500</x:v>
      </x:c>
      <x:c r="J10" s="75">
        <x:f t="shared" si="0"/>
        <x:v>4435866</x:v>
      </x:c>
      <x:c r="K10" s="141">
        <x:f t="shared" si="1"/>
        <x:v>-4435866</x:v>
      </x:c>
      <x:c r="L10" s="119"/>
    </x:row>
    <x:row r="11" spans="1:12" ht="30" customHeight="1">
      <x:c r="A11" s="64"/>
      <x:c r="B11" s="64" t="s">
        <x:v>1690</x:v>
      </x:c>
      <x:c r="C11" s="64"/>
      <x:c r="D11" s="64"/>
      <x:c r="E11" s="68">
        <x:f t="shared" ref="E11:K11" si="2">SUM(E5:E10)</x:f>
        <x:v>111162113</x:v>
      </x:c>
      <x:c r="F11" s="66">
        <x:f t="shared" si="2"/>
        <x:v>216700829</x:v>
      </x:c>
      <x:c r="G11" s="66">
        <x:f t="shared" si="2"/>
        <x:v>150600000</x:v>
      </x:c>
      <x:c r="H11" s="66">
        <x:f t="shared" si="2"/>
        <x:v>2010000</x:v>
      </x:c>
      <x:c r="I11" s="66">
        <x:f t="shared" si="2"/>
        <x:v>35876552</x:v>
      </x:c>
      <x:c r="J11" s="69">
        <x:f t="shared" si="2"/>
        <x:v>405187381</x:v>
      </x:c>
      <x:c r="K11" s="142">
        <x:f t="shared" si="2"/>
        <x:v>-294025268</x:v>
      </x:c>
      <x:c r="L11" s="66"/>
    </x:row>
    <x:row r="23" spans="1:19" s="2" customFormat="1">
      <x:c r="A23" s="1"/>
      <x:c r="B23" s="1"/>
      <x:c r="C23" s="1"/>
      <x:c r="D23" s="1"/>
      <x:c r="E23" s="1"/>
      <x:c r="J23" s="1"/>
      <x:c r="K23" s="1"/>
      <x:c r="M23" s="1"/>
      <x:c r="N23" s="1"/>
      <x:c r="O23" s="1"/>
      <x:c r="P23" s="1"/>
      <x:c r="Q23" s="1"/>
      <x:c r="R23" s="1"/>
      <x:c r="S23" s="1"/>
    </x:row>
    <x:row r="28" spans="4:4">
      <x:c r="D28" s="1">
        <x:v>1505405</x:v>
      </x:c>
    </x:row>
    <x:row r="113" spans="4:4">
      <x:c r="D113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N182"/>
  <x:sheetViews>
    <x:sheetView view="pageBreakPreview" topLeftCell="A43" zoomScaleNormal="100" zoomScaleSheetLayoutView="100" workbookViewId="0">
      <x:selection activeCell="D77" activeCellId="0" sqref="D77:F77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1792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38" t="s">
        <x:v>144</x:v>
      </x:c>
      <x:c r="C3" s="138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38" t="s">
        <x:v>144</x:v>
      </x:c>
      <x:c r="J3" s="138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156</x:v>
      </x:c>
      <x:c r="D4" s="39"/>
      <x:c r="E4" s="39"/>
      <x:c r="F4" s="40">
        <x:f>+D4+E4</x:f>
        <x:v>0</x:v>
      </x:c>
      <x:c r="G4" s="42"/>
      <x:c r="H4" s="137" t="s">
        <x:v>151</x:v>
      </x:c>
      <x:c r="I4" s="38" t="s">
        <x:v>1679</x:v>
      </x:c>
      <x:c r="J4" s="38" t="s">
        <x:v>1030</x:v>
      </x:c>
      <x:c r="K4" s="39">
        <x:v>31930000</x:v>
      </x:c>
      <x:c r="L4" s="39">
        <x:v>70000</x:v>
      </x:c>
      <x:c r="M4" s="40">
        <x:f>+K4+L4</x:f>
        <x:v>32000000</x:v>
      </x:c>
      <x:c r="N4" s="18"/>
    </x:row>
    <x:row r="5" spans="1:14" ht="20.100000000000001" customHeight="1">
      <x:c r="A5" s="298" t="s">
        <x:v>148</x:v>
      </x:c>
      <x:c r="B5" s="19" t="s">
        <x:v>902</x:v>
      </x:c>
      <x:c r="C5" s="54" t="s">
        <x:v>1244</x:v>
      </x:c>
      <x:c r="D5" s="20">
        <x:v>3949500</x:v>
      </x:c>
      <x:c r="E5" s="20">
        <x:f>+D5*0.1</x:f>
        <x:v>394950</x:v>
      </x:c>
      <x:c r="F5" s="21">
        <x:f t="shared" ref="F5:F16" si="0">+D5+E5</x:f>
        <x:v>4344450</x:v>
      </x:c>
      <x:c r="G5" s="22"/>
      <x:c r="H5" s="298" t="s">
        <x:v>148</x:v>
      </x:c>
      <x:c r="I5" s="19" t="s">
        <x:v>838</x:v>
      </x:c>
      <x:c r="J5" s="19"/>
      <x:c r="K5" s="20"/>
      <x:c r="L5" s="20">
        <x:f t="shared" ref="L5:L13" si="1">+K5*0.1</x:f>
        <x:v>0</x:v>
      </x:c>
      <x:c r="M5" s="21">
        <x:f t="shared" ref="M5:M21" si="2">+K5+L5</x:f>
        <x:v>0</x:v>
      </x:c>
      <x:c r="N5" s="22"/>
    </x:row>
    <x:row r="6" spans="1:14" ht="20.100000000000001" customHeight="1">
      <x:c r="A6" s="299"/>
      <x:c r="B6" s="3" t="s">
        <x:v>938</x:v>
      </x:c>
      <x:c r="C6" s="3" t="s">
        <x:v>953</x:v>
      </x:c>
      <x:c r="D6" s="4">
        <x:v>1219200</x:v>
      </x:c>
      <x:c r="E6" s="4">
        <x:f>+D6*0.1</x:f>
        <x:v>121920</x:v>
      </x:c>
      <x:c r="F6" s="5">
        <x:f>+D6+E6</x:f>
        <x:v>1341120</x:v>
      </x:c>
      <x:c r="G6" s="6"/>
      <x:c r="H6" s="299"/>
      <x:c r="I6" s="3" t="s">
        <x:v>867</x:v>
      </x:c>
      <x:c r="J6" s="3" t="s">
        <x:v>374</x:v>
      </x:c>
      <x:c r="K6" s="4">
        <x:v>8156306</x:v>
      </x:c>
      <x:c r="L6" s="4">
        <x:f>+K6*0.1-1</x:f>
        <x:v>815629.60000000009</x:v>
      </x:c>
      <x:c r="M6" s="5">
        <x:f t="shared" si="2"/>
        <x:v>8971935.5999999996</x:v>
      </x:c>
      <x:c r="N6" s="6"/>
    </x:row>
    <x:row r="7" spans="1:14" ht="20.100000000000001" customHeight="1">
      <x:c r="A7" s="299"/>
      <x:c r="B7" s="3" t="s">
        <x:v>1243</x:v>
      </x:c>
      <x:c r="C7" s="3" t="s">
        <x:v>1248</x:v>
      </x:c>
      <x:c r="D7" s="4">
        <x:v>12927000</x:v>
      </x:c>
      <x:c r="E7" s="4">
        <x:f>+D7*0.1</x:f>
        <x:v>1292700</x:v>
      </x:c>
      <x:c r="F7" s="5">
        <x:f>+D7+E7</x:f>
        <x:v>14219700</x:v>
      </x:c>
      <x:c r="G7" s="6" t="s">
        <x:v>784</x:v>
      </x:c>
      <x:c r="H7" s="299"/>
      <x:c r="I7" s="3" t="s">
        <x:v>1119</x:v>
      </x:c>
      <x:c r="J7" s="3"/>
      <x:c r="K7" s="4"/>
      <x:c r="L7" s="4">
        <x:f t="shared" si="1"/>
        <x:v>0</x:v>
      </x:c>
      <x:c r="M7" s="5">
        <x:f t="shared" si="2"/>
        <x:v>0</x:v>
      </x:c>
      <x:c r="N7" s="6"/>
    </x:row>
    <x:row r="8" spans="1:14" ht="20.100000000000001" customHeight="1">
      <x:c r="A8" s="299"/>
      <x:c r="B8" s="3" t="s">
        <x:v>1243</x:v>
      </x:c>
      <x:c r="C8" s="3" t="s">
        <x:v>1252</x:v>
      </x:c>
      <x:c r="D8" s="4">
        <x:v>11400000</x:v>
      </x:c>
      <x:c r="E8" s="4">
        <x:f>+D8*0.1</x:f>
        <x:v>1140000</x:v>
      </x:c>
      <x:c r="F8" s="5">
        <x:f>+D8+E8</x:f>
        <x:v>12540000</x:v>
      </x:c>
      <x:c r="G8" s="6" t="s">
        <x:v>784</x:v>
      </x:c>
      <x:c r="H8" s="299"/>
      <x:c r="I8" s="3" t="s">
        <x:v>976</x:v>
      </x:c>
      <x:c r="J8" s="3"/>
      <x:c r="K8" s="4"/>
      <x:c r="L8" s="4">
        <x:f t="shared" si="1"/>
        <x:v>0</x:v>
      </x:c>
      <x:c r="M8" s="5">
        <x:f t="shared" si="2"/>
        <x:v>0</x:v>
      </x:c>
      <x:c r="N8" s="6"/>
    </x:row>
    <x:row r="9" spans="1:14" ht="20.100000000000001" customHeight="1">
      <x:c r="A9" s="299"/>
      <x:c r="B9" s="3" t="s">
        <x:v>846</x:v>
      </x:c>
      <x:c r="C9" s="3" t="s">
        <x:v>1249</x:v>
      </x:c>
      <x:c r="D9" s="4">
        <x:v>567000</x:v>
      </x:c>
      <x:c r="E9" s="4">
        <x:f>+D9*0.1</x:f>
        <x:v>56700</x:v>
      </x:c>
      <x:c r="F9" s="5">
        <x:f>+D9+E9</x:f>
        <x:v>623700</x:v>
      </x:c>
      <x:c r="G9" s="6"/>
      <x:c r="H9" s="299"/>
      <x:c r="I9" s="3" t="s">
        <x:v>840</x:v>
      </x:c>
      <x:c r="J9" s="3"/>
      <x:c r="K9" s="4"/>
      <x:c r="L9" s="4">
        <x:f t="shared" si="1"/>
        <x:v>0</x:v>
      </x:c>
      <x:c r="M9" s="5">
        <x:f t="shared" si="2"/>
        <x:v>0</x:v>
      </x:c>
      <x:c r="N9" s="6"/>
    </x:row>
    <x:row r="10" spans="1:14" ht="20.100000000000001" customHeight="1">
      <x:c r="A10" s="299"/>
      <x:c r="B10" s="3"/>
      <x:c r="C10" s="3"/>
      <x:c r="D10" s="4"/>
      <x:c r="E10" s="4">
        <x:f t="shared" ref="E10:E16" si="3">+D10*0.1</x:f>
        <x:v>0</x:v>
      </x:c>
      <x:c r="F10" s="5">
        <x:f t="shared" si="0"/>
        <x:v>0</x:v>
      </x:c>
      <x:c r="G10" s="6"/>
      <x:c r="H10" s="299"/>
      <x:c r="I10" s="3" t="s">
        <x:v>846</x:v>
      </x:c>
      <x:c r="J10" s="3" t="s">
        <x:v>1178</x:v>
      </x:c>
      <x:c r="K10" s="4">
        <x:v>1229100</x:v>
      </x:c>
      <x:c r="L10" s="4">
        <x:f t="shared" si="1"/>
        <x:v>122910</x:v>
      </x:c>
      <x:c r="M10" s="5">
        <x:f t="shared" si="2"/>
        <x:v>1352010</x:v>
      </x:c>
      <x:c r="N10" s="6"/>
    </x:row>
    <x:row r="11" spans="1:14" ht="20.100000000000001" customHeight="1">
      <x:c r="A11" s="299"/>
      <x:c r="B11" s="3"/>
      <x:c r="C11" s="3"/>
      <x:c r="D11" s="4"/>
      <x:c r="E11" s="4">
        <x:f t="shared" si="3"/>
        <x:v>0</x:v>
      </x:c>
      <x:c r="F11" s="45">
        <x:f t="shared" si="0"/>
        <x:v>0</x:v>
      </x:c>
      <x:c r="G11" s="6"/>
      <x:c r="H11" s="299"/>
      <x:c r="I11" s="3" t="s">
        <x:v>846</x:v>
      </x:c>
      <x:c r="J11" s="3"/>
      <x:c r="K11" s="4"/>
      <x:c r="L11" s="4">
        <x:f t="shared" si="1"/>
        <x:v>0</x:v>
      </x:c>
      <x:c r="M11" s="5">
        <x:f t="shared" si="2"/>
        <x:v>0</x:v>
      </x:c>
      <x:c r="N11" s="6"/>
    </x:row>
    <x:row r="12" spans="1:14" ht="20.100000000000001" customHeight="1">
      <x:c r="A12" s="299"/>
      <x:c r="B12" s="3"/>
      <x:c r="C12" s="3"/>
      <x:c r="D12" s="4"/>
      <x:c r="E12" s="4">
        <x:f t="shared" si="3"/>
        <x:v>0</x:v>
      </x:c>
      <x:c r="F12" s="5">
        <x:f t="shared" si="0"/>
        <x:v>0</x:v>
      </x:c>
      <x:c r="G12" s="6"/>
      <x:c r="H12" s="299"/>
      <x:c r="I12" s="3" t="s">
        <x:v>1705</x:v>
      </x:c>
      <x:c r="J12" s="3"/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3"/>
        <x:v>0</x:v>
      </x:c>
      <x:c r="F13" s="45">
        <x:f t="shared" si="0"/>
        <x:v>0</x:v>
      </x:c>
      <x:c r="G13" s="6"/>
      <x:c r="H13" s="299"/>
      <x:c r="I13" s="3" t="s">
        <x:v>854</x:v>
      </x:c>
      <x:c r="J13" s="3" t="s">
        <x:v>765</x:v>
      </x:c>
      <x:c r="K13" s="4">
        <x:v>1647950</x:v>
      </x:c>
      <x:c r="L13" s="4">
        <x:f t="shared" si="1"/>
        <x:v>164795</x:v>
      </x:c>
      <x:c r="M13" s="5">
        <x:f t="shared" si="2"/>
        <x:v>1812745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3"/>
        <x:v>0</x:v>
      </x:c>
      <x:c r="F14" s="45">
        <x:f t="shared" si="0"/>
        <x:v>0</x:v>
      </x:c>
      <x:c r="G14" s="6"/>
      <x:c r="H14" s="299"/>
      <x:c r="I14" s="3" t="s">
        <x:v>1058</x:v>
      </x:c>
      <x:c r="J14" s="3" t="s">
        <x:v>781</x:v>
      </x:c>
      <x:c r="K14" s="4">
        <x:v>268160</x:v>
      </x:c>
      <x:c r="L14" s="4">
        <x:f>INT(K14*0.1)</x:f>
        <x:v>26816</x:v>
      </x:c>
      <x:c r="M14" s="5">
        <x:f t="shared" si="2"/>
        <x:v>294976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3"/>
        <x:v>0</x:v>
      </x:c>
      <x:c r="F15" s="45">
        <x:f t="shared" si="0"/>
        <x:v>0</x:v>
      </x:c>
      <x:c r="G15" s="6"/>
      <x:c r="H15" s="299"/>
      <x:c r="I15" s="3" t="s">
        <x:v>1203</x:v>
      </x:c>
      <x:c r="J15" s="3"/>
      <x:c r="K15" s="4"/>
      <x:c r="L15" s="4">
        <x:f>K15*0.1</x:f>
        <x:v>0</x:v>
      </x:c>
      <x:c r="M15" s="5">
        <x:f t="shared" si="2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3"/>
        <x:v>0</x:v>
      </x:c>
      <x:c r="F16" s="45">
        <x:f t="shared" si="0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2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30062700</x:v>
      </x:c>
      <x:c r="E17" s="9">
        <x:f>SUM(E5:E16)</x:f>
        <x:v>3006270</x:v>
      </x:c>
      <x:c r="F17" s="10">
        <x:f>SUM(F5:F16)</x:f>
        <x:v>33068970</x:v>
      </x:c>
      <x:c r="G17" s="11"/>
      <x:c r="H17" s="7"/>
      <x:c r="I17" s="8"/>
      <x:c r="J17" s="8"/>
      <x:c r="K17" s="9">
        <x:f>SUM(K5:K16)</x:f>
        <x:v>11301516</x:v>
      </x:c>
      <x:c r="L17" s="9">
        <x:f>SUM(L5:L16)</x:f>
        <x:v>1130150.6000000001</x:v>
      </x:c>
      <x:c r="M17" s="10">
        <x:f>SUM(M5:M16)</x:f>
        <x:v>12431666.6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16790000</x:v>
      </x:c>
      <x:c r="E18" s="44"/>
      <x:c r="F18" s="45">
        <x:f>+D18+E18</x:f>
        <x:v>16790000</x:v>
      </x:c>
      <x:c r="G18" s="37" t="s">
        <x:v>240</x:v>
      </x:c>
      <x:c r="H18" s="301" t="s">
        <x:v>153</x:v>
      </x:c>
      <x:c r="I18" s="3" t="s">
        <x:v>1677</x:v>
      </x:c>
      <x:c r="J18" s="3" t="s">
        <x:v>1083</x:v>
      </x:c>
      <x:c r="K18" s="4">
        <x:v>17820000</x:v>
      </x:c>
      <x:c r="L18" s="4"/>
      <x:c r="M18" s="5">
        <x:f t="shared" si="2"/>
        <x:v>17820000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232</x:v>
      </x:c>
      <x:c r="D19" s="4">
        <x:v>2160000</x:v>
      </x:c>
      <x:c r="E19" s="4"/>
      <x:c r="F19" s="5">
        <x:f>+D19+E19</x:f>
        <x:v>2160000</x:v>
      </x:c>
      <x:c r="G19" s="37" t="s">
        <x:v>243</x:v>
      </x:c>
      <x:c r="H19" s="299"/>
      <x:c r="I19" s="3" t="s">
        <x:v>695</x:v>
      </x:c>
      <x:c r="J19" s="3" t="s">
        <x:v>1107</x:v>
      </x:c>
      <x:c r="K19" s="4"/>
      <x:c r="L19" s="4"/>
      <x:c r="M19" s="5">
        <x:f t="shared" si="2"/>
        <x:v>0</x:v>
      </x:c>
      <x:c r="N19" s="6"/>
    </x:row>
    <x:row r="20" spans="1:14" ht="20.100000000000001" customHeight="1">
      <x:c r="A20" s="299"/>
      <x:c r="B20" s="3" t="s">
        <x:v>960</x:v>
      </x:c>
      <x:c r="C20" s="3" t="s">
        <x:v>950</x:v>
      </x:c>
      <x:c r="D20" s="4">
        <x:v>6000000</x:v>
      </x:c>
      <x:c r="E20" s="4">
        <x:f>+D20*0.1</x:f>
        <x:v>600000</x:v>
      </x:c>
      <x:c r="F20" s="5">
        <x:f>+D20+E20</x:f>
        <x:v>6600000</x:v>
      </x:c>
      <x:c r="G20" s="37"/>
      <x:c r="H20" s="299"/>
      <x:c r="I20" s="3" t="s">
        <x:v>703</x:v>
      </x:c>
      <x:c r="J20" s="3" t="s">
        <x:v>194</x:v>
      </x:c>
      <x:c r="K20" s="4"/>
      <x:c r="L20" s="4">
        <x:f>K20*0.1</x:f>
        <x:v>0</x:v>
      </x:c>
      <x:c r="M20" s="5">
        <x:f t="shared" si="2"/>
        <x:v>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2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24950000</x:v>
      </x:c>
      <x:c r="E22" s="9">
        <x:f>SUM(E18:E21)</x:f>
        <x:v>600000</x:v>
      </x:c>
      <x:c r="F22" s="10">
        <x:f>SUM(F18:F21)</x:f>
        <x:v>25550000</x:v>
      </x:c>
      <x:c r="G22" s="11"/>
      <x:c r="H22" s="7"/>
      <x:c r="I22" s="8"/>
      <x:c r="J22" s="8"/>
      <x:c r="K22" s="9">
        <x:f>SUM(K18:K21)</x:f>
        <x:v>17820000</x:v>
      </x:c>
      <x:c r="L22" s="9">
        <x:f>SUM(L18:L21)</x:f>
        <x:v>0</x:v>
      </x:c>
      <x:c r="M22" s="10">
        <x:f>SUM(M18:M21)</x:f>
        <x:v>17820000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/>
      <x:c r="L23" s="4">
        <x:f>+K23*0.1</x:f>
        <x:v>0</x:v>
      </x:c>
      <x:c r="M23" s="5">
        <x:f>+K23+L23</x:f>
        <x:v>0</x:v>
      </x:c>
      <x:c r="N23" s="6" t="s">
        <x:v>250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50000</x:v>
      </x:c>
      <x:c r="L24" s="4">
        <x:f>K24*0.1</x:f>
        <x:v>5000</x:v>
      </x:c>
      <x:c r="M24" s="5">
        <x:f>+K24+L24</x:f>
        <x:v>55000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50000</x:v>
      </x:c>
      <x:c r="L27" s="9">
        <x:f>SUM(L23:L26)</x:f>
        <x:v>5000</x:v>
      </x:c>
      <x:c r="M27" s="10">
        <x:f>SUM(M23:M26)</x:f>
        <x:v>55000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1505405</x:v>
      </x:c>
      <x:c r="E28" s="44"/>
      <x:c r="F28" s="5">
        <x:f>+D28+E28</x:f>
        <x:v>1505405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1057610</x:v>
      </x:c>
      <x:c r="L28" s="4">
        <x:v>7000</x:v>
      </x:c>
      <x:c r="M28" s="5">
        <x:f t="shared" ref="M28:M37" si="4">+K28+L28</x:f>
        <x:v>1064610</x:v>
      </x:c>
      <x:c r="N28" s="6"/>
    </x:row>
    <x:row r="29" spans="1:14" ht="20.100000000000001" customHeight="1">
      <x:c r="A29" s="299"/>
      <x:c r="B29" s="3" t="s">
        <x:v>1274</x:v>
      </x:c>
      <x:c r="C29" s="3" t="s">
        <x:v>739</x:v>
      </x:c>
      <x:c r="D29" s="4">
        <x:v>445454</x:v>
      </x:c>
      <x:c r="E29" s="4">
        <x:f>+D29*0.1+1</x:f>
        <x:v>44546.400000000001</x:v>
      </x:c>
      <x:c r="F29" s="5">
        <x:f>+D29+E29</x:f>
        <x:v>490000.40000000002</x:v>
      </x:c>
      <x:c r="G29" s="6"/>
      <x:c r="H29" s="299"/>
      <x:c r="I29" s="3" t="s">
        <x:v>1205</x:v>
      </x:c>
      <x:c r="J29" s="3" t="s">
        <x:v>28</x:v>
      </x:c>
      <x:c r="K29" s="4">
        <x:v>332727</x:v>
      </x:c>
      <x:c r="L29" s="4">
        <x:f>+INT(K29*0.1)+1</x:f>
        <x:v>33273</x:v>
      </x:c>
      <x:c r="M29" s="5">
        <x:f t="shared" si="4"/>
        <x:v>366000</x:v>
      </x:c>
      <x:c r="N29" s="6"/>
    </x:row>
    <x:row r="30" spans="1:14" ht="20.100000000000001" customHeight="1">
      <x:c r="A30" s="299"/>
      <x:c r="B30" s="3" t="s">
        <x:v>994</x:v>
      </x:c>
      <x:c r="C30" s="3" t="s">
        <x:v>8</x:v>
      </x:c>
      <x:c r="D30" s="4">
        <x:v>424546</x:v>
      </x:c>
      <x:c r="E30" s="4">
        <x:f>+INT(D30*0.1)</x:f>
        <x:v>42454</x:v>
      </x:c>
      <x:c r="F30" s="5">
        <x:f>+D30+E30</x:f>
        <x:v>467000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247</x:v>
      </x:c>
      <x:c r="C31" s="3" t="s">
        <x:v>231</x:v>
      </x:c>
      <x:c r="D31" s="4">
        <x:v>22000</x:v>
      </x:c>
      <x:c r="E31" s="4">
        <x:f>+INT(D31*0.1)</x:f>
        <x:v>2200</x:v>
      </x:c>
      <x:c r="F31" s="5">
        <x:f>+D31+E31</x:f>
        <x:v>24200</x:v>
      </x:c>
      <x:c r="G31" s="6"/>
      <x:c r="H31" s="299"/>
      <x:c r="I31" s="3" t="s">
        <x:v>883</x:v>
      </x:c>
      <x:c r="J31" s="3"/>
      <x:c r="K31" s="4"/>
      <x:c r="L31" s="4">
        <x:f>K31*0.1</x:f>
        <x:v>0</x:v>
      </x:c>
      <x:c r="M31" s="5">
        <x:f t="shared" si="4"/>
        <x:v>0</x:v>
      </x:c>
      <x:c r="N31" s="6"/>
    </x:row>
    <x:row r="32" spans="1:14" ht="20.100000000000001" customHeight="1">
      <x:c r="A32" s="299"/>
      <x:c r="B32" s="3" t="s">
        <x:v>1275</x:v>
      </x:c>
      <x:c r="C32" s="3" t="s">
        <x:v>787</x:v>
      </x:c>
      <x:c r="D32" s="4">
        <x:v>4300000</x:v>
      </x:c>
      <x:c r="E32" s="4">
        <x:f>+INT(D32*0.1)</x:f>
        <x:v>430000</x:v>
      </x:c>
      <x:c r="F32" s="5">
        <x:f t="shared" ref="F32:F37" si="5">+D32+E32</x:f>
        <x:v>4730000</x:v>
      </x:c>
      <x:c r="G32" s="6" t="s">
        <x:v>792</x:v>
      </x:c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 t="shared" si="4"/>
        <x:v>110000</x:v>
      </x:c>
      <x:c r="N32" s="6"/>
    </x:row>
    <x:row r="33" spans="1:14" ht="20.100000000000001" customHeight="1">
      <x:c r="A33" s="299"/>
      <x:c r="B33" s="3" t="s">
        <x:v>1268</x:v>
      </x:c>
      <x:c r="C33" s="3" t="s">
        <x:v>234</x:v>
      </x:c>
      <x:c r="D33" s="4">
        <x:v>20000</x:v>
      </x:c>
      <x:c r="E33" s="4">
        <x:f>+INT(D33*0.1)</x:f>
        <x:v>2000</x:v>
      </x:c>
      <x:c r="F33" s="5">
        <x:f t="shared" si="5"/>
        <x:v>22000</x:v>
      </x:c>
      <x:c r="G33" s="146" t="s">
        <x:v>1069</x:v>
      </x:c>
      <x:c r="H33" s="299"/>
      <x:c r="I33" s="3" t="s">
        <x:v>1120</x:v>
      </x:c>
      <x:c r="J33" s="3" t="s">
        <x:v>167</x:v>
      </x:c>
      <x:c r="K33" s="4">
        <x:v>10000</x:v>
      </x:c>
      <x:c r="L33" s="4">
        <x:f>K33*0.1</x:f>
        <x:v>1000</x:v>
      </x:c>
      <x:c r="M33" s="5">
        <x:f t="shared" si="4"/>
        <x:v>11000</x:v>
      </x:c>
      <x:c r="N33" s="6"/>
    </x:row>
    <x:row r="34" spans="1:14" ht="20.100000000000001" customHeight="1">
      <x:c r="A34" s="299"/>
      <x:c r="B34" s="3" t="s">
        <x:v>951</x:v>
      </x:c>
      <x:c r="C34" s="3" t="s">
        <x:v>958</x:v>
      </x:c>
      <x:c r="D34" s="4">
        <x:v>2275400</x:v>
      </x:c>
      <x:c r="E34" s="4"/>
      <x:c r="F34" s="5">
        <x:f t="shared" si="5"/>
        <x:v>2275400</x:v>
      </x:c>
      <x:c r="G34" s="6" t="s">
        <x:v>1069</x:v>
      </x:c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4"/>
        <x:v>23100</x:v>
      </x:c>
      <x:c r="N34" s="6"/>
    </x:row>
    <x:row r="35" spans="1:14" ht="20.100000000000001" customHeight="1">
      <x:c r="A35" s="299"/>
      <x:c r="B35" s="3" t="s">
        <x:v>951</x:v>
      </x:c>
      <x:c r="C35" s="3" t="s">
        <x:v>1269</x:v>
      </x:c>
      <x:c r="D35" s="4">
        <x:v>3025500</x:v>
      </x:c>
      <x:c r="E35" s="4"/>
      <x:c r="F35" s="5">
        <x:f t="shared" si="5"/>
        <x:v>3025500</x:v>
      </x:c>
      <x:c r="G35" s="6" t="s">
        <x:v>1069</x:v>
      </x:c>
      <x:c r="H35" s="299"/>
      <x:c r="I35" s="3"/>
      <x:c r="J35" s="3"/>
      <x:c r="K35" s="4"/>
      <x:c r="L35" s="4">
        <x:f>+K35*0.1</x:f>
        <x:v>0</x:v>
      </x:c>
      <x:c r="M35" s="5">
        <x:f t="shared" si="4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12018305</x:v>
      </x:c>
      <x:c r="E38" s="9">
        <x:f>SUM(E28:E37)</x:f>
        <x:v>521200.40000000002</x:v>
      </x:c>
      <x:c r="F38" s="10">
        <x:f>SUM(F28:F37)</x:f>
        <x:v>12539505.4</x:v>
      </x:c>
      <x:c r="G38" s="11"/>
      <x:c r="H38" s="7"/>
      <x:c r="I38" s="8"/>
      <x:c r="J38" s="8"/>
      <x:c r="K38" s="9">
        <x:f>SUM(K28:K37)</x:f>
        <x:v>2021337</x:v>
      </x:c>
      <x:c r="L38" s="9">
        <x:f>SUM(L28:L37)</x:f>
        <x:v>103373</x:v>
      </x:c>
      <x:c r="M38" s="10">
        <x:f>SUM(M28:M37)</x:f>
        <x:v>2124710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67031005</x:v>
      </x:c>
      <x:c r="E39" s="14">
        <x:f>+E17+E22+E27+E38</x:f>
        <x:v>4127470.3999999999</x:v>
      </x:c>
      <x:c r="F39" s="15">
        <x:f>+F17+F22+F27+F38</x:f>
        <x:v>71158475.400000006</x:v>
      </x:c>
      <x:c r="G39" s="16"/>
      <x:c r="H39" s="12"/>
      <x:c r="I39" s="13"/>
      <x:c r="J39" s="13"/>
      <x:c r="K39" s="14">
        <x:f>+K17+K22+K27+K38</x:f>
        <x:v>31192853</x:v>
      </x:c>
      <x:c r="L39" s="14">
        <x:f>+L17+L22+L27+L38</x:f>
        <x:v>1238523.6000000001</x:v>
      </x:c>
      <x:c r="M39" s="15">
        <x:f>+M17+M22+M27+M38</x:f>
        <x:v>32431376.600000001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-67031005</x:v>
      </x:c>
      <x:c r="E40" s="25">
        <x:f>+E4-E39</x:f>
        <x:v>-4127470.3999999999</x:v>
      </x:c>
      <x:c r="F40" s="26">
        <x:f>+F4-F39</x:f>
        <x:v>-71158475.400000006</x:v>
      </x:c>
      <x:c r="G40" s="27"/>
      <x:c r="H40" s="23"/>
      <x:c r="I40" s="24"/>
      <x:c r="J40" s="24"/>
      <x:c r="K40" s="25">
        <x:f>+K4-K39</x:f>
        <x:v>737147</x:v>
      </x:c>
      <x:c r="L40" s="25">
        <x:f>+L4-L39</x:f>
        <x:v>-1168523.6000000001</x:v>
      </x:c>
      <x:c r="M40" s="26">
        <x:f>+M4-M39</x:f>
        <x:v>-431376.60000000149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38" t="s">
        <x:v>144</x:v>
      </x:c>
      <x:c r="C42" s="138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38" t="s">
        <x:v>144</x:v>
      </x:c>
      <x:c r="J42" s="138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37" t="s">
        <x:v>151</x:v>
      </x:c>
      <x:c r="B43" s="38" t="s">
        <x:v>1679</x:v>
      </x:c>
      <x:c r="C43" s="38" t="s">
        <x:v>1030</x:v>
      </x:c>
      <x:c r="D43" s="39"/>
      <x:c r="E43" s="39"/>
      <x:c r="F43" s="40">
        <x:f t="shared" ref="F43:F57" si="6">+D43+E43</x:f>
        <x:v>0</x:v>
      </x:c>
      <x:c r="G43" s="18"/>
      <x:c r="H43" s="137" t="s">
        <x:v>151</x:v>
      </x:c>
      <x:c r="I43" s="38" t="s">
        <x:v>1679</x:v>
      </x:c>
      <x:c r="J43" s="38" t="s">
        <x:v>1030</x:v>
      </x:c>
      <x:c r="K43" s="39">
        <x:v>39579234</x:v>
      </x:c>
      <x:c r="L43" s="39">
        <x:v>420766</x:v>
      </x:c>
      <x:c r="M43" s="40">
        <x:f>+K43+L43</x:f>
        <x:v>40000000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 t="s">
        <x:v>1255</x:v>
      </x:c>
      <x:c r="D44" s="20">
        <x:v>568200</x:v>
      </x:c>
      <x:c r="E44" s="20">
        <x:f>D44*0.1</x:f>
        <x:v>56820</x:v>
      </x:c>
      <x:c r="F44" s="21">
        <x:f t="shared" si="6"/>
        <x:v>625020</x:v>
      </x:c>
      <x:c r="G44" s="22"/>
      <x:c r="H44" s="298" t="s">
        <x:v>148</x:v>
      </x:c>
      <x:c r="I44" s="19" t="s">
        <x:v>838</x:v>
      </x:c>
      <x:c r="J44" s="19" t="s">
        <x:v>1179</x:v>
      </x:c>
      <x:c r="K44" s="20">
        <x:v>153250</x:v>
      </x:c>
      <x:c r="L44" s="20">
        <x:f>+K44*0.1</x:f>
        <x:v>15325</x:v>
      </x:c>
      <x:c r="M44" s="21">
        <x:f>+K44+L44</x:f>
        <x:v>168575</x:v>
      </x:c>
      <x:c r="N44" s="22"/>
    </x:row>
    <x:row r="45" spans="1:14" ht="20.100000000000001" customHeight="1">
      <x:c r="A45" s="299"/>
      <x:c r="B45" s="3" t="s">
        <x:v>840</x:v>
      </x:c>
      <x:c r="C45" s="3" t="s">
        <x:v>367</x:v>
      </x:c>
      <x:c r="D45" s="4">
        <x:v>47500</x:v>
      </x:c>
      <x:c r="E45" s="4">
        <x:f>INT(D45*0.1)</x:f>
        <x:v>4750</x:v>
      </x:c>
      <x:c r="F45" s="5">
        <x:f t="shared" si="6"/>
        <x:v>52250</x:v>
      </x:c>
      <x:c r="G45" s="6"/>
      <x:c r="H45" s="299"/>
      <x:c r="I45" s="3" t="s">
        <x:v>867</x:v>
      </x:c>
      <x:c r="J45" s="3" t="s">
        <x:v>374</x:v>
      </x:c>
      <x:c r="K45" s="4">
        <x:v>7027880</x:v>
      </x:c>
      <x:c r="L45" s="4">
        <x:f>+K45*0.1</x:f>
        <x:v>702788</x:v>
      </x:c>
      <x:c r="M45" s="5">
        <x:f>+K45+L45</x:f>
        <x:v>7730668</x:v>
      </x:c>
      <x:c r="N45" s="6"/>
    </x:row>
    <x:row r="46" spans="1:14" ht="20.100000000000001" customHeight="1">
      <x:c r="A46" s="299"/>
      <x:c r="B46" s="3" t="s">
        <x:v>21</x:v>
      </x:c>
      <x:c r="C46" s="3" t="s">
        <x:v>1145</x:v>
      </x:c>
      <x:c r="D46" s="4">
        <x:v>3036000</x:v>
      </x:c>
      <x:c r="E46" s="4">
        <x:f>D46*0.1</x:f>
        <x:v>303600</x:v>
      </x:c>
      <x:c r="F46" s="5">
        <x:f t="shared" si="6"/>
        <x:v>3339600</x:v>
      </x:c>
      <x:c r="G46" s="6"/>
      <x:c r="H46" s="299"/>
      <x:c r="I46" s="3" t="s">
        <x:v>840</x:v>
      </x:c>
      <x:c r="J46" s="3" t="s">
        <x:v>783</x:v>
      </x:c>
      <x:c r="K46" s="4">
        <x:v>1444055</x:v>
      </x:c>
      <x:c r="L46" s="4">
        <x:f>+INT(K46*0.1)</x:f>
        <x:v>144405</x:v>
      </x:c>
      <x:c r="M46" s="5">
        <x:f t="shared" ref="M46:M59" si="7">+K46+L46</x:f>
        <x:v>1588460</x:v>
      </x:c>
      <x:c r="N46" s="6"/>
    </x:row>
    <x:row r="47" spans="1:14" ht="20.100000000000001" customHeight="1">
      <x:c r="A47" s="299"/>
      <x:c r="B47" s="3" t="s">
        <x:v>1058</x:v>
      </x:c>
      <x:c r="C47" s="3" t="s">
        <x:v>748</x:v>
      </x:c>
      <x:c r="D47" s="4">
        <x:v>468240</x:v>
      </x:c>
      <x:c r="E47" s="4">
        <x:f>D47*0.1</x:f>
        <x:v>46824</x:v>
      </x:c>
      <x:c r="F47" s="5">
        <x:f t="shared" si="6"/>
        <x:v>515064</x:v>
      </x:c>
      <x:c r="G47" s="6"/>
      <x:c r="H47" s="299"/>
      <x:c r="I47" s="3" t="s">
        <x:v>976</x:v>
      </x:c>
      <x:c r="J47" s="3"/>
      <x:c r="K47" s="4"/>
      <x:c r="L47" s="4">
        <x:f t="shared" ref="L47:L59" si="8">+INT(K47*0.1)</x:f>
        <x:v>0</x:v>
      </x:c>
      <x:c r="M47" s="5">
        <x:f t="shared" si="7"/>
        <x:v>0</x:v>
      </x:c>
      <x:c r="N47" s="6"/>
    </x:row>
    <x:row r="48" spans="1:14" ht="20.100000000000001" customHeight="1">
      <x:c r="A48" s="299"/>
      <x:c r="B48" s="3" t="s">
        <x:v>854</x:v>
      </x:c>
      <x:c r="C48" s="3" t="s">
        <x:v>790</x:v>
      </x:c>
      <x:c r="D48" s="4">
        <x:v>456200</x:v>
      </x:c>
      <x:c r="E48" s="4">
        <x:f>+INT(D48*0.1)</x:f>
        <x:v>45620</x:v>
      </x:c>
      <x:c r="F48" s="5">
        <x:f t="shared" si="6"/>
        <x:v>501820</x:v>
      </x:c>
      <x:c r="G48" s="6"/>
      <x:c r="H48" s="299"/>
      <x:c r="I48" s="3" t="s">
        <x:v>1058</x:v>
      </x:c>
      <x:c r="J48" s="3"/>
      <x:c r="K48" s="4"/>
      <x:c r="L48" s="4">
        <x:f t="shared" si="8"/>
        <x:v>0</x:v>
      </x:c>
      <x:c r="M48" s="5">
        <x:f t="shared" si="7"/>
        <x:v>0</x:v>
      </x:c>
      <x:c r="N48" s="6"/>
    </x:row>
    <x:row r="49" spans="1:14" ht="20.100000000000001" customHeight="1">
      <x:c r="A49" s="299"/>
      <x:c r="B49" s="3" t="s">
        <x:v>867</x:v>
      </x:c>
      <x:c r="C49" s="3" t="s">
        <x:v>374</x:v>
      </x:c>
      <x:c r="D49" s="4">
        <x:v>2221800</x:v>
      </x:c>
      <x:c r="E49" s="4">
        <x:f>+INT(D49*0.1)</x:f>
        <x:v>222180</x:v>
      </x:c>
      <x:c r="F49" s="5">
        <x:f t="shared" si="6"/>
        <x:v>2443980</x:v>
      </x:c>
      <x:c r="G49" s="6"/>
      <x:c r="H49" s="299"/>
      <x:c r="I49" s="3" t="s">
        <x:v>967</x:v>
      </x:c>
      <x:c r="J49" s="3" t="s">
        <x:v>1207</x:v>
      </x:c>
      <x:c r="K49" s="4">
        <x:v>31300000</x:v>
      </x:c>
      <x:c r="L49" s="4">
        <x:f t="shared" si="8"/>
        <x:v>3130000</x:v>
      </x:c>
      <x:c r="M49" s="5">
        <x:f t="shared" si="7"/>
        <x:v>34430000</x:v>
      </x:c>
      <x:c r="N49" s="6"/>
    </x:row>
    <x:row r="50" spans="1:14" ht="20.100000000000001" customHeight="1">
      <x:c r="A50" s="299"/>
      <x:c r="B50" s="3" t="s">
        <x:v>1201</x:v>
      </x:c>
      <x:c r="C50" s="3" t="s">
        <x:v>244</x:v>
      </x:c>
      <x:c r="D50" s="4">
        <x:v>3600000</x:v>
      </x:c>
      <x:c r="E50" s="4">
        <x:f>+INT(D50*0.1)</x:f>
        <x:v>360000</x:v>
      </x:c>
      <x:c r="F50" s="5">
        <x:f t="shared" si="6"/>
        <x:v>3960000</x:v>
      </x:c>
      <x:c r="G50" s="6"/>
      <x:c r="H50" s="299"/>
      <x:c r="I50" s="3" t="s">
        <x:v>846</x:v>
      </x:c>
      <x:c r="J50" s="3" t="s">
        <x:v>1254</x:v>
      </x:c>
      <x:c r="K50" s="4">
        <x:v>1599380</x:v>
      </x:c>
      <x:c r="L50" s="4">
        <x:f>+INT(K50*0.1)-8</x:f>
        <x:v>159930</x:v>
      </x:c>
      <x:c r="M50" s="5">
        <x:f t="shared" si="7"/>
        <x:v>1759310</x:v>
      </x:c>
      <x:c r="N50" s="6"/>
    </x:row>
    <x:row r="51" spans="1:14" ht="20.100000000000001" customHeight="1">
      <x:c r="A51" s="299"/>
      <x:c r="B51" s="3" t="s">
        <x:v>1173</x:v>
      </x:c>
      <x:c r="C51" s="3" t="s">
        <x:v>1229</x:v>
      </x:c>
      <x:c r="D51" s="4">
        <x:v>19554000</x:v>
      </x:c>
      <x:c r="E51" s="4">
        <x:f>+INT(D51*0.1)</x:f>
        <x:v>1955400</x:v>
      </x:c>
      <x:c r="F51" s="5">
        <x:f t="shared" si="6"/>
        <x:v>21509400</x:v>
      </x:c>
      <x:c r="G51" s="6"/>
      <x:c r="H51" s="299"/>
      <x:c r="I51" s="3" t="s">
        <x:v>1209</x:v>
      </x:c>
      <x:c r="J51" s="3"/>
      <x:c r="K51" s="4"/>
      <x:c r="L51" s="4">
        <x:f t="shared" si="8"/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 t="s">
        <x:v>846</x:v>
      </x:c>
      <x:c r="C52" s="3" t="s">
        <x:v>1237</x:v>
      </x:c>
      <x:c r="D52" s="4">
        <x:v>3353665</x:v>
      </x:c>
      <x:c r="E52" s="4">
        <x:f>+INT(D52*0.1)-1</x:f>
        <x:v>335365</x:v>
      </x:c>
      <x:c r="F52" s="5">
        <x:f t="shared" si="6"/>
        <x:v>3689030</x:v>
      </x:c>
      <x:c r="G52" s="6"/>
      <x:c r="H52" s="299"/>
      <x:c r="I52" s="3" t="s">
        <x:v>1705</x:v>
      </x:c>
      <x:c r="J52" s="3"/>
      <x:c r="K52" s="4"/>
      <x:c r="L52" s="4">
        <x:f t="shared" si="8"/>
        <x:v>0</x:v>
      </x:c>
      <x:c r="M52" s="5">
        <x:f t="shared" si="7"/>
        <x:v>0</x:v>
      </x:c>
      <x:c r="N52" s="6"/>
    </x:row>
    <x:row r="53" spans="1:14" ht="20.100000000000001" customHeight="1">
      <x:c r="A53" s="299"/>
      <x:c r="B53" s="3" t="s">
        <x:v>1182</x:v>
      </x:c>
      <x:c r="C53" s="3" t="s">
        <x:v>1258</x:v>
      </x:c>
      <x:c r="D53" s="4">
        <x:v>15524000</x:v>
      </x:c>
      <x:c r="E53" s="4">
        <x:f t="shared" ref="E53:E58" si="9">+INT(D53*0.1)</x:f>
        <x:v>1552400</x:v>
      </x:c>
      <x:c r="F53" s="5">
        <x:f t="shared" si="6"/>
        <x:v>17076400</x:v>
      </x:c>
      <x:c r="G53" s="6"/>
      <x:c r="H53" s="299"/>
      <x:c r="I53" s="3" t="s">
        <x:v>854</x:v>
      </x:c>
      <x:c r="J53" s="3" t="s">
        <x:v>1245</x:v>
      </x:c>
      <x:c r="K53" s="4">
        <x:v>480420</x:v>
      </x:c>
      <x:c r="L53" s="4">
        <x:f t="shared" ref="L53:L58" si="10">+INT(K53*0.1)</x:f>
        <x:v>48042</x:v>
      </x:c>
      <x:c r="M53" s="5">
        <x:f t="shared" ref="M53:M58" si="11">+K53+L53</x:f>
        <x:v>528462</x:v>
      </x:c>
      <x:c r="N53" s="6"/>
    </x:row>
    <x:row r="54" spans="1:14" ht="20.100000000000001" customHeight="1">
      <x:c r="A54" s="299"/>
      <x:c r="B54" s="3" t="s">
        <x:v>1209</x:v>
      </x:c>
      <x:c r="C54" s="3" t="s">
        <x:v>1218</x:v>
      </x:c>
      <x:c r="D54" s="4">
        <x:v>8000000</x:v>
      </x:c>
      <x:c r="E54" s="4">
        <x:f t="shared" si="9"/>
        <x:v>800000</x:v>
      </x:c>
      <x:c r="F54" s="5">
        <x:f t="shared" si="6"/>
        <x:v>8800000</x:v>
      </x:c>
      <x:c r="G54" s="6"/>
      <x:c r="H54" s="299"/>
      <x:c r="I54" s="3" t="s">
        <x:v>1182</x:v>
      </x:c>
      <x:c r="J54" s="3"/>
      <x:c r="K54" s="4"/>
      <x:c r="L54" s="4">
        <x:f t="shared" si="10"/>
        <x:v>0</x:v>
      </x:c>
      <x:c r="M54" s="5">
        <x:f t="shared" si="11"/>
        <x:v>0</x:v>
      </x:c>
      <x:c r="N54" s="6"/>
    </x:row>
    <x:row r="55" spans="1:14" ht="20.100000000000001" customHeight="1">
      <x:c r="A55" s="299"/>
      <x:c r="B55" s="3" t="s">
        <x:v>1220</x:v>
      </x:c>
      <x:c r="C55" s="3" t="s">
        <x:v>1197</x:v>
      </x:c>
      <x:c r="D55" s="4">
        <x:v>5887000</x:v>
      </x:c>
      <x:c r="E55" s="4">
        <x:f t="shared" si="9"/>
        <x:v>588700</x:v>
      </x:c>
      <x:c r="F55" s="5">
        <x:f t="shared" si="6"/>
        <x:v>6475700</x:v>
      </x:c>
      <x:c r="G55" s="6"/>
      <x:c r="H55" s="299"/>
      <x:c r="I55" s="3" t="s">
        <x:v>1201</x:v>
      </x:c>
      <x:c r="J55" s="3" t="s">
        <x:v>244</x:v>
      </x:c>
      <x:c r="K55" s="4">
        <x:v>5838750</x:v>
      </x:c>
      <x:c r="L55" s="4">
        <x:f t="shared" si="10"/>
        <x:v>583875</x:v>
      </x:c>
      <x:c r="M55" s="5">
        <x:f t="shared" si="11"/>
        <x:v>6422625</x:v>
      </x:c>
      <x:c r="N55" s="6"/>
    </x:row>
    <x:row r="56" spans="1:14" ht="20.100000000000001" customHeight="1">
      <x:c r="A56" s="299"/>
      <x:c r="B56" s="3" t="s">
        <x:v>774</x:v>
      </x:c>
      <x:c r="C56" s="3" t="s">
        <x:v>1233</x:v>
      </x:c>
      <x:c r="D56" s="4">
        <x:v>2200000</x:v>
      </x:c>
      <x:c r="E56" s="4">
        <x:f t="shared" si="9"/>
        <x:v>220000</x:v>
      </x:c>
      <x:c r="F56" s="5">
        <x:f t="shared" si="6"/>
        <x:v>2420000</x:v>
      </x:c>
      <x:c r="G56" s="6"/>
      <x:c r="H56" s="299"/>
      <x:c r="I56" s="129" t="s">
        <x:v>766</x:v>
      </x:c>
      <x:c r="J56" s="129"/>
      <x:c r="K56" s="130"/>
      <x:c r="L56" s="130">
        <x:f t="shared" si="10"/>
        <x:v>0</x:v>
      </x:c>
      <x:c r="M56" s="131">
        <x:f t="shared" si="11"/>
        <x:v>0</x:v>
      </x:c>
      <x:c r="N56" s="132"/>
    </x:row>
    <x:row r="57" spans="1:14" ht="20.100000000000001" customHeight="1">
      <x:c r="A57" s="299"/>
      <x:c r="B57" s="3" t="s">
        <x:v>1102</x:v>
      </x:c>
      <x:c r="C57" s="3" t="s">
        <x:v>1215</x:v>
      </x:c>
      <x:c r="D57" s="4">
        <x:v>8000000</x:v>
      </x:c>
      <x:c r="E57" s="4">
        <x:f t="shared" si="9"/>
        <x:v>800000</x:v>
      </x:c>
      <x:c r="F57" s="5">
        <x:f t="shared" si="6"/>
        <x:v>8800000</x:v>
      </x:c>
      <x:c r="G57" s="6"/>
      <x:c r="H57" s="299"/>
      <x:c r="I57" s="129" t="s">
        <x:v>762</x:v>
      </x:c>
      <x:c r="J57" s="129" t="s">
        <x:v>759</x:v>
      </x:c>
      <x:c r="K57" s="130"/>
      <x:c r="L57" s="130">
        <x:f t="shared" si="10"/>
        <x:v>0</x:v>
      </x:c>
      <x:c r="M57" s="131">
        <x:f t="shared" si="11"/>
        <x:v>0</x:v>
      </x:c>
      <x:c r="N57" s="132"/>
    </x:row>
    <x:row r="58" spans="1:14" ht="20.100000000000001" customHeight="1">
      <x:c r="A58" s="299"/>
      <x:c r="B58" s="143" t="s">
        <x:v>1016</x:v>
      </x:c>
      <x:c r="C58" s="143" t="s">
        <x:v>1231</x:v>
      </x:c>
      <x:c r="D58" s="144">
        <x:v>11600000</x:v>
      </x:c>
      <x:c r="E58" s="144">
        <x:f t="shared" si="9"/>
        <x:v>1160000</x:v>
      </x:c>
      <x:c r="F58" s="145">
        <x:f>+D58+E58</x:f>
        <x:v>12760000</x:v>
      </x:c>
      <x:c r="G58" s="6"/>
      <x:c r="H58" s="299"/>
      <x:c r="I58" s="129"/>
      <x:c r="J58" s="129"/>
      <x:c r="K58" s="130"/>
      <x:c r="L58" s="130">
        <x:f t="shared" si="10"/>
        <x:v>0</x:v>
      </x:c>
      <x:c r="M58" s="131">
        <x:f t="shared" si="11"/>
        <x:v>0</x:v>
      </x:c>
      <x:c r="N58" s="132"/>
    </x:row>
    <x:row r="59" spans="1:14" ht="20.100000000000001" customHeight="1">
      <x:c r="A59" s="300"/>
      <x:c r="B59" s="3" t="s">
        <x:v>1246</x:v>
      </x:c>
      <x:c r="C59" s="3" t="s">
        <x:v>1235</x:v>
      </x:c>
      <x:c r="D59" s="4">
        <x:v>300000</x:v>
      </x:c>
      <x:c r="E59" s="4">
        <x:f>D59*0.1</x:f>
        <x:v>30000</x:v>
      </x:c>
      <x:c r="F59" s="4">
        <x:f>+D59+E59</x:f>
        <x:v>330000</x:v>
      </x:c>
      <x:c r="G59" s="6"/>
      <x:c r="H59" s="300"/>
      <x:c r="I59" s="129"/>
      <x:c r="J59" s="129"/>
      <x:c r="K59" s="130"/>
      <x:c r="L59" s="130">
        <x:f t="shared" si="8"/>
        <x:v>0</x:v>
      </x:c>
      <x:c r="M59" s="131">
        <x:f t="shared" si="7"/>
        <x:v>0</x:v>
      </x:c>
      <x:c r="N59" s="132"/>
    </x:row>
    <x:row r="60" spans="1:14" ht="20.100000000000001" customHeight="1">
      <x:c r="A60" s="7" t="s">
        <x:v>155</x:v>
      </x:c>
      <x:c r="B60" s="8"/>
      <x:c r="C60" s="8"/>
      <x:c r="D60" s="9">
        <x:f>SUM(D44:D59)</x:f>
        <x:v>84816605</x:v>
      </x:c>
      <x:c r="E60" s="9">
        <x:f>SUM(E44:E59)</x:f>
        <x:v>8481659</x:v>
      </x:c>
      <x:c r="F60" s="10">
        <x:f>SUM(F44:F59)</x:f>
        <x:v>93298264</x:v>
      </x:c>
      <x:c r="G60" s="11"/>
      <x:c r="H60" s="7" t="s">
        <x:v>155</x:v>
      </x:c>
      <x:c r="I60" s="8"/>
      <x:c r="J60" s="8"/>
      <x:c r="K60" s="9">
        <x:f>SUM(K44:K59)</x:f>
        <x:v>47843735</x:v>
      </x:c>
      <x:c r="L60" s="9">
        <x:f>SUM(L44:L59)</x:f>
        <x:v>4784365</x:v>
      </x:c>
      <x:c r="M60" s="10">
        <x:f>SUM(M44:M59)</x:f>
        <x:v>52628100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1096</x:v>
      </x:c>
      <x:c r="D61" s="44">
        <x:v>41570000</x:v>
      </x:c>
      <x:c r="E61" s="44"/>
      <x:c r="F61" s="45">
        <x:f>+D61+E61</x:f>
        <x:v>41570000</x:v>
      </x:c>
      <x:c r="G61" s="37"/>
      <x:c r="H61" s="301" t="s">
        <x:v>153</x:v>
      </x:c>
      <x:c r="I61" s="3" t="s">
        <x:v>1677</x:v>
      </x:c>
      <x:c r="J61" s="3" t="s">
        <x:v>1114</x:v>
      </x:c>
      <x:c r="K61" s="44">
        <x:v>23560000</x:v>
      </x:c>
      <x:c r="L61" s="44"/>
      <x:c r="M61" s="45">
        <x:f>+K61+L61</x:f>
        <x:v>23560000</x:v>
      </x:c>
      <x:c r="N61" s="37"/>
    </x:row>
    <x:row r="62" spans="1:14" ht="20.100000000000001" customHeight="1">
      <x:c r="A62" s="299"/>
      <x:c r="B62" s="3"/>
      <x:c r="C62" s="3"/>
      <x:c r="D62" s="4"/>
      <x:c r="E62" s="4">
        <x:f>+D62*0.1</x:f>
        <x:v>0</x:v>
      </x:c>
      <x:c r="F62" s="5">
        <x:f>+D62+E62</x:f>
        <x:v>0</x:v>
      </x:c>
      <x:c r="G62" s="37"/>
      <x:c r="H62" s="299"/>
      <x:c r="I62" s="3" t="s">
        <x:v>780</x:v>
      </x:c>
      <x:c r="J62" s="3" t="s">
        <x:v>1230</x:v>
      </x:c>
      <x:c r="K62" s="44">
        <x:v>20000000</x:v>
      </x:c>
      <x:c r="L62" s="4">
        <x:f>+K62*0.1</x:f>
        <x:v>2000000</x:v>
      </x:c>
      <x:c r="M62" s="45">
        <x:f>+K62+L62</x:f>
        <x:v>22000000</x:v>
      </x:c>
      <x:c r="N62" s="37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41570000</x:v>
      </x:c>
      <x:c r="E65" s="9">
        <x:f>SUM(E61:E64)</x:f>
        <x:v>0</x:v>
      </x:c>
      <x:c r="F65" s="10">
        <x:f>SUM(F61:F64)</x:f>
        <x:v>41570000</x:v>
      </x:c>
      <x:c r="G65" s="11"/>
      <x:c r="H65" s="7" t="s">
        <x:v>155</x:v>
      </x:c>
      <x:c r="I65" s="8"/>
      <x:c r="J65" s="8"/>
      <x:c r="K65" s="9">
        <x:f>SUM(K61:K64)</x:f>
        <x:v>43560000</x:v>
      </x:c>
      <x:c r="L65" s="9">
        <x:f>SUM(L61:L64)</x:f>
        <x:v>2000000</x:v>
      </x:c>
      <x:c r="M65" s="10">
        <x:f>SUM(M61:M64)</x:f>
        <x:v>45560000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1126</x:v>
      </x:c>
      <x:c r="D66" s="4">
        <x:v>300000</x:v>
      </x:c>
      <x:c r="E66" s="4">
        <x:f>+D66*0.1</x:f>
        <x:v>30000</x:v>
      </x:c>
      <x:c r="F66" s="5">
        <x:f>+D66+E66</x:f>
        <x:v>330000</x:v>
      </x:c>
      <x:c r="G66" s="6"/>
      <x:c r="H66" s="301" t="s">
        <x:v>187</x:v>
      </x:c>
      <x:c r="I66" s="3" t="s">
        <x:v>1124</x:v>
      </x:c>
      <x:c r="J66" s="3" t="s">
        <x:v>1126</x:v>
      </x:c>
      <x:c r="K66" s="4">
        <x:v>300000</x:v>
      </x:c>
      <x:c r="L66" s="4">
        <x:f>+K66*0.1</x:f>
        <x:v>30000</x:v>
      </x:c>
      <x:c r="M66" s="5">
        <x:f>+K66+L66</x:f>
        <x:v>330000</x:v>
      </x:c>
      <x:c r="N66" s="6"/>
    </x:row>
    <x:row r="67" spans="1:14" ht="20.100000000000001" customHeight="1">
      <x:c r="A67" s="299"/>
      <x:c r="B67" s="3" t="s">
        <x:v>1256</x:v>
      </x:c>
      <x:c r="C67" s="3" t="s">
        <x:v>157</x:v>
      </x:c>
      <x:c r="D67" s="4">
        <x:v>500000</x:v>
      </x:c>
      <x:c r="E67" s="4">
        <x:f>+D67*0.1</x:f>
        <x:v>50000</x:v>
      </x:c>
      <x:c r="F67" s="5">
        <x:f>+D67+E67</x:f>
        <x:v>550000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299"/>
      <x:c r="B68" s="3" t="s">
        <x:v>1170</x:v>
      </x:c>
      <x:c r="C68" s="3" t="s">
        <x:v>227</x:v>
      </x:c>
      <x:c r="D68" s="4">
        <x:v>150000</x:v>
      </x:c>
      <x:c r="E68" s="4">
        <x:f>+D68*0.1</x:f>
        <x:v>15000</x:v>
      </x:c>
      <x:c r="F68" s="5">
        <x:f>+D68+E68</x:f>
        <x:v>165000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 t="s">
        <x:v>155</x:v>
      </x:c>
      <x:c r="B70" s="8"/>
      <x:c r="C70" s="8"/>
      <x:c r="D70" s="9">
        <x:f>SUM(D66:D69)</x:f>
        <x:v>950000</x:v>
      </x:c>
      <x:c r="E70" s="9">
        <x:f>SUM(E66:E69)</x:f>
        <x:v>95000</x:v>
      </x:c>
      <x:c r="F70" s="10">
        <x:f>SUM(F66:F69)</x:f>
        <x:v>1045000</x:v>
      </x:c>
      <x:c r="G70" s="11"/>
      <x:c r="H70" s="7" t="s">
        <x:v>155</x:v>
      </x:c>
      <x:c r="I70" s="8"/>
      <x:c r="J70" s="8"/>
      <x:c r="K70" s="9">
        <x:f>SUM(K66:K69)</x:f>
        <x:v>300000</x:v>
      </x:c>
      <x:c r="L70" s="9">
        <x:f>SUM(L66:L69)</x:f>
        <x:v>30000</x:v>
      </x:c>
      <x:c r="M70" s="10">
        <x:f>SUM(M66:M69)</x:f>
        <x:v>330000</x:v>
      </x:c>
      <x:c r="N70" s="11"/>
    </x:row>
    <x:row r="71" spans="1:14" ht="20.100000000000001" customHeight="1">
      <x:c r="A71" s="301" t="s">
        <x:v>149</x:v>
      </x:c>
      <x:c r="B71" s="3" t="s">
        <x:v>177</x:v>
      </x:c>
      <x:c r="C71" s="3" t="s">
        <x:v>149</x:v>
      </x:c>
      <x:c r="D71" s="4">
        <x:v>1237260</x:v>
      </x:c>
      <x:c r="E71" s="4"/>
      <x:c r="F71" s="5">
        <x:f t="shared" ref="F71:F80" si="12">+D71+E71</x:f>
        <x:v>1237260</x:v>
      </x:c>
      <x:c r="G71" s="6"/>
      <x:c r="H71" s="301" t="s">
        <x:v>149</x:v>
      </x:c>
      <x:c r="I71" s="3" t="s">
        <x:v>203</x:v>
      </x:c>
      <x:c r="J71" s="3" t="s">
        <x:v>837</x:v>
      </x:c>
      <x:c r="K71" s="4">
        <x:v>973680</x:v>
      </x:c>
      <x:c r="L71" s="4"/>
      <x:c r="M71" s="5">
        <x:f>+K71+L71</x:f>
        <x:v>973680</x:v>
      </x:c>
      <x:c r="N71" s="6"/>
    </x:row>
    <x:row r="72" spans="1:14" ht="20.100000000000001" customHeight="1">
      <x:c r="A72" s="299"/>
      <x:c r="B72" s="3" t="s">
        <x:v>721</x:v>
      </x:c>
      <x:c r="C72" s="3" t="s">
        <x:v>167</x:v>
      </x:c>
      <x:c r="D72" s="4">
        <x:v>54000</x:v>
      </x:c>
      <x:c r="E72" s="4">
        <x:f>+D72*0.1</x:f>
        <x:v>5400</x:v>
      </x:c>
      <x:c r="F72" s="5">
        <x:f t="shared" si="12"/>
        <x:v>59400</x:v>
      </x:c>
      <x:c r="G72" s="6"/>
      <x:c r="H72" s="299"/>
      <x:c r="I72" s="3" t="s">
        <x:v>221</x:v>
      </x:c>
      <x:c r="J72" s="3" t="s">
        <x:v>1053</x:v>
      </x:c>
      <x:c r="K72" s="4">
        <x:v>500000</x:v>
      </x:c>
      <x:c r="L72" s="4">
        <x:f>+K72*0.1</x:f>
        <x:v>50000</x:v>
      </x:c>
      <x:c r="M72" s="5">
        <x:f>+K72+L72</x:f>
        <x:v>550000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100000</x:v>
      </x:c>
      <x:c r="E73" s="4">
        <x:f>D73*0.1</x:f>
        <x:v>10000</x:v>
      </x:c>
      <x:c r="F73" s="5">
        <x:f t="shared" si="12"/>
        <x:v>110000</x:v>
      </x:c>
      <x:c r="G73" s="6"/>
      <x:c r="H73" s="299"/>
      <x:c r="I73" s="3" t="s">
        <x:v>221</x:v>
      </x:c>
      <x:c r="J73" s="3" t="s">
        <x:v>1066</x:v>
      </x:c>
      <x:c r="K73" s="4">
        <x:v>48000</x:v>
      </x:c>
      <x:c r="L73" s="4"/>
      <x:c r="M73" s="5">
        <x:f>+K73+L73</x:f>
        <x:v>48000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1281500</x:v>
      </x:c>
      <x:c r="E74" s="4">
        <x:f>D74*0.1</x:f>
        <x:v>128150</x:v>
      </x:c>
      <x:c r="F74" s="5">
        <x:f t="shared" si="12"/>
        <x:v>1409650</x:v>
      </x:c>
      <x:c r="G74" s="6"/>
      <x:c r="H74" s="299"/>
      <x:c r="I74" s="3" t="s">
        <x:v>1061</x:v>
      </x:c>
      <x:c r="J74" s="3" t="s">
        <x:v>167</x:v>
      </x:c>
      <x:c r="K74" s="4">
        <x:v>107000</x:v>
      </x:c>
      <x:c r="L74" s="4">
        <x:f t="shared" ref="L74:L80" si="13">+K74*0.1</x:f>
        <x:v>10700</x:v>
      </x:c>
      <x:c r="M74" s="5">
        <x:f>+K74+L74</x:f>
        <x:v>117700</x:v>
      </x:c>
      <x:c r="N74" s="6"/>
    </x:row>
    <x:row r="75" spans="1:14" ht="20.100000000000001" customHeight="1">
      <x:c r="A75" s="299"/>
      <x:c r="B75" s="3" t="s">
        <x:v>926</x:v>
      </x:c>
      <x:c r="C75" s="3" t="s">
        <x:v>927</x:v>
      </x:c>
      <x:c r="D75" s="4">
        <x:v>367870</x:v>
      </x:c>
      <x:c r="E75" s="4"/>
      <x:c r="F75" s="5">
        <x:f t="shared" si="12"/>
        <x:v>367870</x:v>
      </x:c>
      <x:c r="G75" s="6"/>
      <x:c r="H75" s="299"/>
      <x:c r="I75" s="3" t="s">
        <x:v>1047</x:v>
      </x:c>
      <x:c r="J75" s="3" t="s">
        <x:v>962</x:v>
      </x:c>
      <x:c r="K75" s="4">
        <x:v>810000</x:v>
      </x:c>
      <x:c r="L75" s="4">
        <x:f t="shared" si="13"/>
        <x:v>81000</x:v>
      </x:c>
      <x:c r="M75" s="5">
        <x:f t="shared" ref="M75:M80" si="14">+K75+L75</x:f>
        <x:v>891000</x:v>
      </x:c>
      <x:c r="N75" s="6"/>
    </x:row>
    <x:row r="76" spans="1:14" ht="20.100000000000001" customHeight="1">
      <x:c r="A76" s="299"/>
      <x:c r="B76" s="3" t="s">
        <x:v>1181</x:v>
      </x:c>
      <x:c r="C76" s="3" t="s">
        <x:v>817</x:v>
      </x:c>
      <x:c r="D76" s="4">
        <x:v>1000000</x:v>
      </x:c>
      <x:c r="E76" s="4">
        <x:f>D76*0.1</x:f>
        <x:v>100000</x:v>
      </x:c>
      <x:c r="F76" s="5">
        <x:f t="shared" si="12"/>
        <x:v>1100000</x:v>
      </x:c>
      <x:c r="G76" s="6"/>
      <x:c r="H76" s="299"/>
      <x:c r="I76" s="3" t="s">
        <x:v>947</x:v>
      </x:c>
      <x:c r="J76" s="3" t="s">
        <x:v>914</x:v>
      </x:c>
      <x:c r="K76" s="4">
        <x:v>100000</x:v>
      </x:c>
      <x:c r="L76" s="4">
        <x:f t="shared" si="13"/>
        <x:v>10000</x:v>
      </x:c>
      <x:c r="M76" s="5">
        <x:f t="shared" si="14"/>
        <x:v>110000</x:v>
      </x:c>
      <x:c r="N76" s="6"/>
    </x:row>
    <x:row r="77" spans="1:14" ht="20.100000000000001" customHeight="1">
      <x:c r="A77" s="299"/>
      <x:c r="B77" s="3" t="s">
        <x:v>247</x:v>
      </x:c>
      <x:c r="C77" s="3" t="s">
        <x:v>231</x:v>
      </x:c>
      <x:c r="D77" s="4">
        <x:v>20000</x:v>
      </x:c>
      <x:c r="E77" s="4">
        <x:f>+D77*0.1</x:f>
        <x:v>2000</x:v>
      </x:c>
      <x:c r="F77" s="5">
        <x:f t="shared" si="12"/>
        <x:v>22000</x:v>
      </x:c>
      <x:c r="G77" s="6"/>
      <x:c r="H77" s="299"/>
      <x:c r="I77" s="3" t="s">
        <x:v>247</x:v>
      </x:c>
      <x:c r="J77" s="3" t="s">
        <x:v>231</x:v>
      </x:c>
      <x:c r="K77" s="4">
        <x:v>21000</x:v>
      </x:c>
      <x:c r="L77" s="4">
        <x:f t="shared" si="13"/>
        <x:v>2100</x:v>
      </x:c>
      <x:c r="M77" s="5">
        <x:f t="shared" si="14"/>
        <x:v>23100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2"/>
        <x:v>0</x:v>
      </x:c>
      <x:c r="G78" s="6"/>
      <x:c r="H78" s="299"/>
      <x:c r="I78" s="3" t="s">
        <x:v>771</x:v>
      </x:c>
      <x:c r="J78" s="3" t="s">
        <x:v>1093</x:v>
      </x:c>
      <x:c r="K78" s="4">
        <x:f>1467200+685000</x:f>
        <x:v>2152200</x:v>
      </x:c>
      <x:c r="L78" s="4">
        <x:f t="shared" si="13"/>
        <x:v>215220</x:v>
      </x:c>
      <x:c r="M78" s="5">
        <x:f t="shared" si="14"/>
        <x:v>2367420</x:v>
      </x:c>
      <x:c r="N78" s="6" t="s">
        <x:v>785</x:v>
      </x:c>
    </x:row>
    <x:row r="79" spans="1:14" ht="20.100000000000001" customHeight="1">
      <x:c r="A79" s="299"/>
      <x:c r="B79" s="3"/>
      <x:c r="C79" s="3"/>
      <x:c r="D79" s="4"/>
      <x:c r="E79" s="4"/>
      <x:c r="F79" s="5">
        <x:f t="shared" si="12"/>
        <x:v>0</x:v>
      </x:c>
      <x:c r="G79" s="6"/>
      <x:c r="H79" s="299"/>
      <x:c r="I79" s="3" t="s">
        <x:v>771</x:v>
      </x:c>
      <x:c r="J79" s="3" t="s">
        <x:v>1234</x:v>
      </x:c>
      <x:c r="K79" s="4">
        <x:f>3448100</x:f>
        <x:v>3448100</x:v>
      </x:c>
      <x:c r="L79" s="4">
        <x:f t="shared" si="13"/>
        <x:v>344810</x:v>
      </x:c>
      <x:c r="M79" s="5">
        <x:f t="shared" si="14"/>
        <x:v>3792910</x:v>
      </x:c>
      <x:c r="N79" s="6" t="s">
        <x:v>785</x:v>
      </x:c>
    </x:row>
    <x:row r="80" spans="1:14" ht="20.100000000000001" customHeight="1">
      <x:c r="A80" s="300"/>
      <x:c r="B80" s="3"/>
      <x:c r="C80" s="3"/>
      <x:c r="D80" s="4"/>
      <x:c r="E80" s="4"/>
      <x:c r="F80" s="5">
        <x:f t="shared" si="12"/>
        <x:v>0</x:v>
      </x:c>
      <x:c r="G80" s="6"/>
      <x:c r="H80" s="300"/>
      <x:c r="I80" s="3" t="s">
        <x:v>774</x:v>
      </x:c>
      <x:c r="J80" s="3" t="s">
        <x:v>1233</x:v>
      </x:c>
      <x:c r="K80" s="4">
        <x:v>2100000</x:v>
      </x:c>
      <x:c r="L80" s="4">
        <x:f t="shared" si="13"/>
        <x:v>210000</x:v>
      </x:c>
      <x:c r="M80" s="5">
        <x:f t="shared" si="14"/>
        <x:v>2310000</x:v>
      </x:c>
      <x:c r="N80" s="6"/>
    </x:row>
    <x:row r="81" spans="1:14" ht="20.100000000000001" customHeight="1">
      <x:c r="A81" s="7" t="s">
        <x:v>155</x:v>
      </x:c>
      <x:c r="B81" s="8"/>
      <x:c r="C81" s="8"/>
      <x:c r="D81" s="9">
        <x:f>SUM(D71:D80)</x:f>
        <x:v>4060630</x:v>
      </x:c>
      <x:c r="E81" s="9">
        <x:f>SUM(E71:E80)</x:f>
        <x:v>245550</x:v>
      </x:c>
      <x:c r="F81" s="10">
        <x:f>SUM(F71:F80)</x:f>
        <x:v>4306180</x:v>
      </x:c>
      <x:c r="G81" s="11"/>
      <x:c r="H81" s="7" t="s">
        <x:v>155</x:v>
      </x:c>
      <x:c r="I81" s="8"/>
      <x:c r="J81" s="8"/>
      <x:c r="K81" s="9">
        <x:f>SUM(K71:K80)</x:f>
        <x:v>10259980</x:v>
      </x:c>
      <x:c r="L81" s="9">
        <x:f>SUM(L71:L80)</x:f>
        <x:v>923830</x:v>
      </x:c>
      <x:c r="M81" s="10">
        <x:f>SUM(M71:M80)</x:f>
        <x:v>11183810</x:v>
      </x:c>
      <x:c r="N81" s="11"/>
    </x:row>
    <x:row r="82" spans="1:14" ht="20.100000000000001" customHeight="1">
      <x:c r="A82" s="12" t="s">
        <x:v>1690</x:v>
      </x:c>
      <x:c r="B82" s="13"/>
      <x:c r="C82" s="13"/>
      <x:c r="D82" s="14">
        <x:f>+D60+D65+D70+D81</x:f>
        <x:v>131397235</x:v>
      </x:c>
      <x:c r="E82" s="14">
        <x:f>+E60+E65+E70+E81</x:f>
        <x:v>8822209</x:v>
      </x:c>
      <x:c r="F82" s="15">
        <x:f>+F60+F65+F70+F81</x:f>
        <x:v>140219444</x:v>
      </x:c>
      <x:c r="G82" s="16"/>
      <x:c r="H82" s="12"/>
      <x:c r="I82" s="13"/>
      <x:c r="J82" s="13"/>
      <x:c r="K82" s="14">
        <x:f>+K60+K65+K70+K81</x:f>
        <x:v>101963715</x:v>
      </x:c>
      <x:c r="L82" s="14">
        <x:f>+L60+L65+L70+L81</x:f>
        <x:v>7738195</x:v>
      </x:c>
      <x:c r="M82" s="15">
        <x:f>+M60+M65+M70+M81</x:f>
        <x:v>109701910</x:v>
      </x:c>
      <x:c r="N82" s="16"/>
    </x:row>
    <x:row r="83" spans="1:14" ht="20.100000000000001" customHeight="1">
      <x:c r="A83" s="23" t="s">
        <x:v>35</x:v>
      </x:c>
      <x:c r="B83" s="24"/>
      <x:c r="C83" s="24"/>
      <x:c r="D83" s="25">
        <x:f>+D43-D82</x:f>
        <x:v>-131397235</x:v>
      </x:c>
      <x:c r="E83" s="25">
        <x:f>+E43-E82</x:f>
        <x:v>-8822209</x:v>
      </x:c>
      <x:c r="F83" s="26">
        <x:f>+F43-F82</x:f>
        <x:v>-140219444</x:v>
      </x:c>
      <x:c r="G83" s="27"/>
      <x:c r="H83" s="23"/>
      <x:c r="I83" s="24"/>
      <x:c r="J83" s="24"/>
      <x:c r="K83" s="25">
        <x:f>+K43-K82</x:f>
        <x:v>-62384481</x:v>
      </x:c>
      <x:c r="L83" s="25">
        <x:f>+L43-L82</x:f>
        <x:v>-7317429</x:v>
      </x:c>
      <x:c r="M83" s="26">
        <x:f>+M43-M82</x:f>
        <x:v>-69701910</x:v>
      </x:c>
      <x:c r="N83" s="27"/>
    </x:row>
    <x:row r="84" spans="1:14" ht="20.100000000000001" customHeight="1">
      <x:c r="A84" s="302" t="s">
        <x:v>1025</x:v>
      </x:c>
      <x:c r="B84" s="303"/>
      <x:c r="C84" s="303"/>
      <x:c r="D84" s="303"/>
      <x:c r="E84" s="303"/>
      <x:c r="F84" s="304"/>
      <x:c r="G84" s="305"/>
      <x:c r="H84" s="302" t="s">
        <x:v>414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38" t="s">
        <x:v>144</x:v>
      </x:c>
      <x:c r="C85" s="138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38" t="s">
        <x:v>144</x:v>
      </x:c>
      <x:c r="J85" s="138" t="s">
        <x:v>150</x:v>
      </x:c>
      <x:c r="K85" s="31" t="s">
        <x:v>145</x:v>
      </x:c>
      <x:c r="L85" s="31" t="s">
        <x:v>152</x:v>
      </x:c>
      <x:c r="M85" s="31" t="s">
        <x:v>146</x:v>
      </x:c>
      <x:c r="N85" s="34" t="s">
        <x:v>154</x:v>
      </x:c>
    </x:row>
    <x:row r="86" spans="1:14" ht="20.100000000000001" customHeight="1">
      <x:c r="A86" s="41" t="s">
        <x:v>151</x:v>
      </x:c>
      <x:c r="B86" s="149" t="s">
        <x:v>1679</x:v>
      </x:c>
      <x:c r="C86" s="149" t="s">
        <x:v>1030</x:v>
      </x:c>
      <x:c r="D86" s="150">
        <x:v>39652879</x:v>
      </x:c>
      <x:c r="E86" s="150">
        <x:v>347121</x:v>
      </x:c>
      <x:c r="F86" s="40">
        <x:f>+D86+E86</x:f>
        <x:v>40000000</x:v>
      </x:c>
      <x:c r="G86" s="42"/>
      <x:c r="H86" s="41" t="s">
        <x:v>151</x:v>
      </x:c>
      <x:c r="I86" s="38" t="s">
        <x:v>1679</x:v>
      </x:c>
      <x:c r="J86" s="38" t="s">
        <x:v>156</x:v>
      </x:c>
      <x:c r="K86" s="39"/>
      <x:c r="L86" s="39"/>
      <x:c r="M86" s="40">
        <x:f>+K86+L86</x:f>
        <x:v>0</x:v>
      </x:c>
      <x:c r="N86" s="42"/>
    </x:row>
    <x:row r="87" spans="1:14" ht="20.100000000000001" customHeight="1">
      <x:c r="A87" s="298" t="s">
        <x:v>148</x:v>
      </x:c>
      <x:c r="B87" s="147" t="s">
        <x:v>867</x:v>
      </x:c>
      <x:c r="C87" s="147" t="s">
        <x:v>375</x:v>
      </x:c>
      <x:c r="D87" s="148">
        <x:v>9351541</x:v>
      </x:c>
      <x:c r="E87" s="148">
        <x:f>D87*0.1</x:f>
        <x:v>935154.10000000009</x:v>
      </x:c>
      <x:c r="F87" s="21">
        <x:f t="shared" ref="F87:F99" si="15">+D87+E87</x:f>
        <x:v>10286695.1</x:v>
      </x:c>
      <x:c r="G87" s="22"/>
      <x:c r="H87" s="298" t="s">
        <x:v>148</x:v>
      </x:c>
      <x:c r="I87" s="19" t="s">
        <x:v>867</x:v>
      </x:c>
      <x:c r="J87" s="19" t="s">
        <x:v>369</x:v>
      </x:c>
      <x:c r="K87" s="20">
        <x:v>2717550</x:v>
      </x:c>
      <x:c r="L87" s="20">
        <x:f>+K87*0.1</x:f>
        <x:v>271755</x:v>
      </x:c>
      <x:c r="M87" s="21">
        <x:f t="shared" ref="M87:M100" si="16">+K87+L87</x:f>
        <x:v>2989305</x:v>
      </x:c>
      <x:c r="N87" s="22"/>
    </x:row>
    <x:row r="88" spans="1:14" ht="20.100000000000001" customHeight="1">
      <x:c r="A88" s="299"/>
      <x:c r="B88" s="3" t="s">
        <x:v>840</x:v>
      </x:c>
      <x:c r="C88" s="3" t="s">
        <x:v>782</x:v>
      </x:c>
      <x:c r="D88" s="4">
        <x:v>182708</x:v>
      </x:c>
      <x:c r="E88" s="4">
        <x:f>+D88*0.1-1</x:f>
        <x:v>18269.799999999999</x:v>
      </x:c>
      <x:c r="F88" s="5">
        <x:f t="shared" si="15"/>
        <x:v>200977.79999999999</x:v>
      </x:c>
      <x:c r="G88" s="6"/>
      <x:c r="H88" s="299"/>
      <x:c r="I88" s="3" t="s">
        <x:v>907</x:v>
      </x:c>
      <x:c r="J88" s="3" t="s">
        <x:v>1232</x:v>
      </x:c>
      <x:c r="K88" s="4">
        <x:v>1000000</x:v>
      </x:c>
      <x:c r="L88" s="4">
        <x:f>K88*0.1</x:f>
        <x:v>100000</x:v>
      </x:c>
      <x:c r="M88" s="5">
        <x:f t="shared" si="16"/>
        <x:v>1100000</x:v>
      </x:c>
      <x:c r="N88" s="6"/>
    </x:row>
    <x:row r="89" spans="1:14" ht="20.100000000000001" customHeight="1">
      <x:c r="A89" s="299"/>
      <x:c r="B89" s="3" t="s">
        <x:v>1058</x:v>
      </x:c>
      <x:c r="C89" s="3" t="s">
        <x:v>402</x:v>
      </x:c>
      <x:c r="D89" s="4">
        <x:v>493920</x:v>
      </x:c>
      <x:c r="E89" s="4">
        <x:f>+D89*0.1</x:f>
        <x:v>49392</x:v>
      </x:c>
      <x:c r="F89" s="5">
        <x:f t="shared" si="15"/>
        <x:v>543312</x:v>
      </x:c>
      <x:c r="G89" s="6"/>
      <x:c r="H89" s="299"/>
      <x:c r="I89" s="3" t="s">
        <x:v>846</x:v>
      </x:c>
      <x:c r="J89" s="3" t="s">
        <x:v>1253</x:v>
      </x:c>
      <x:c r="K89" s="4">
        <x:v>574816</x:v>
      </x:c>
      <x:c r="L89" s="4">
        <x:f>+K89*0.1-8</x:f>
        <x:v>57473.600000000006</x:v>
      </x:c>
      <x:c r="M89" s="5">
        <x:f t="shared" si="16"/>
        <x:v>632289.59999999998</x:v>
      </x:c>
      <x:c r="N89" s="6"/>
    </x:row>
    <x:row r="90" spans="1:14" ht="20.100000000000001" customHeight="1">
      <x:c r="A90" s="299"/>
      <x:c r="B90" s="3" t="s">
        <x:v>1220</x:v>
      </x:c>
      <x:c r="C90" s="3" t="s">
        <x:v>1197</x:v>
      </x:c>
      <x:c r="D90" s="4">
        <x:v>2573000</x:v>
      </x:c>
      <x:c r="E90" s="4">
        <x:f>+D90*0.1</x:f>
        <x:v>257300</x:v>
      </x:c>
      <x:c r="F90" s="5">
        <x:f t="shared" si="15"/>
        <x:v>2830300</x:v>
      </x:c>
      <x:c r="G90" s="6"/>
      <x:c r="H90" s="299"/>
      <x:c r="I90" s="3"/>
      <x:c r="J90" s="3"/>
      <x:c r="K90" s="4"/>
      <x:c r="L90" s="4">
        <x:f t="shared" ref="L90:L100" si="17">+K90*0.1</x:f>
        <x:v>0</x:v>
      </x:c>
      <x:c r="M90" s="5">
        <x:f t="shared" si="16"/>
        <x:v>0</x:v>
      </x:c>
      <x:c r="N90" s="6"/>
    </x:row>
    <x:row r="91" spans="1:14" ht="20.100000000000001" customHeight="1">
      <x:c r="A91" s="299"/>
      <x:c r="B91" s="3" t="s">
        <x:v>967</x:v>
      </x:c>
      <x:c r="C91" s="3" t="s">
        <x:v>1229</x:v>
      </x:c>
      <x:c r="D91" s="4">
        <x:v>14386000</x:v>
      </x:c>
      <x:c r="E91" s="4">
        <x:f>+D91*0.1</x:f>
        <x:v>1438600</x:v>
      </x:c>
      <x:c r="F91" s="5">
        <x:f t="shared" si="15"/>
        <x:v>15824600</x:v>
      </x:c>
      <x:c r="G91" s="6"/>
      <x:c r="H91" s="299"/>
      <x:c r="I91" s="3"/>
      <x:c r="J91" s="3"/>
      <x:c r="K91" s="4"/>
      <x:c r="L91" s="4">
        <x:f>+K91*0.1</x:f>
        <x:v>0</x:v>
      </x:c>
      <x:c r="M91" s="5">
        <x:f t="shared" si="16"/>
        <x:v>0</x:v>
      </x:c>
      <x:c r="N91" s="6"/>
    </x:row>
    <x:row r="92" spans="1:14" ht="20.100000000000001" customHeight="1">
      <x:c r="A92" s="299"/>
      <x:c r="B92" s="3" t="s">
        <x:v>1070</x:v>
      </x:c>
      <x:c r="C92" s="3" t="s">
        <x:v>778</x:v>
      </x:c>
      <x:c r="D92" s="4">
        <x:v>616000</x:v>
      </x:c>
      <x:c r="E92" s="4">
        <x:f>+D92*0.1</x:f>
        <x:v>61600</x:v>
      </x:c>
      <x:c r="F92" s="5">
        <x:f t="shared" si="15"/>
        <x:v>677600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 t="shared" si="16"/>
        <x:v>0</x:v>
      </x:c>
      <x:c r="N92" s="6"/>
    </x:row>
    <x:row r="93" spans="1:14" ht="20.100000000000001" customHeight="1">
      <x:c r="A93" s="299"/>
      <x:c r="B93" s="3" t="s">
        <x:v>854</x:v>
      </x:c>
      <x:c r="C93" s="3"/>
      <x:c r="D93" s="4"/>
      <x:c r="E93" s="4">
        <x:f>+D93*0.1</x:f>
        <x:v>0</x:v>
      </x:c>
      <x:c r="F93" s="5">
        <x:f t="shared" si="15"/>
        <x:v>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846</x:v>
      </x:c>
      <x:c r="C94" s="3" t="s">
        <x:v>1236</x:v>
      </x:c>
      <x:c r="D94" s="4">
        <x:v>1281098</x:v>
      </x:c>
      <x:c r="E94" s="4">
        <x:f>+D94*0.1-8</x:f>
        <x:v>128101.8</x:v>
      </x:c>
      <x:c r="F94" s="5">
        <x:f t="shared" si="15"/>
        <x:v>1409199.8</x:v>
      </x:c>
      <x:c r="G94" s="6"/>
      <x:c r="H94" s="299"/>
      <x:c r="I94" s="3"/>
      <x:c r="J94" s="3"/>
      <x:c r="K94" s="4"/>
      <x:c r="L94" s="4">
        <x:f>+K94*0.1</x:f>
        <x:v>0</x:v>
      </x:c>
      <x:c r="M94" s="5">
        <x:f>+K94+L94</x:f>
        <x:v>0</x:v>
      </x:c>
      <x:c r="N94" s="6"/>
    </x:row>
    <x:row r="95" spans="1:14" ht="20.100000000000001" customHeight="1">
      <x:c r="A95" s="299"/>
      <x:c r="B95" s="3" t="s">
        <x:v>1201</x:v>
      </x:c>
      <x:c r="C95" s="3" t="s">
        <x:v>244</x:v>
      </x:c>
      <x:c r="D95" s="4">
        <x:v>3499640</x:v>
      </x:c>
      <x:c r="E95" s="4">
        <x:f>+INT(D95*0.1)</x:f>
        <x:v>349964</x:v>
      </x:c>
      <x:c r="F95" s="5">
        <x:f t="shared" si="15"/>
        <x:v>3849604</x:v>
      </x:c>
      <x:c r="G95" s="6"/>
      <x:c r="H95" s="299"/>
      <x:c r="I95" s="3"/>
      <x:c r="J95" s="3"/>
      <x:c r="K95" s="4"/>
      <x:c r="L95" s="4">
        <x:f t="shared" si="17"/>
        <x:v>0</x:v>
      </x:c>
      <x:c r="M95" s="5">
        <x:f t="shared" si="16"/>
        <x:v>0</x:v>
      </x:c>
      <x:c r="N95" s="6"/>
    </x:row>
    <x:row r="96" spans="1:14" ht="20.100000000000001" customHeight="1">
      <x:c r="A96" s="299"/>
      <x:c r="B96" s="129" t="s">
        <x:v>766</x:v>
      </x:c>
      <x:c r="C96" s="129"/>
      <x:c r="D96" s="4"/>
      <x:c r="E96" s="4">
        <x:f>+D96*0.1</x:f>
        <x:v>0</x:v>
      </x:c>
      <x:c r="F96" s="5">
        <x:f t="shared" si="15"/>
        <x:v>0</x:v>
      </x:c>
      <x:c r="G96" s="6"/>
      <x:c r="H96" s="299"/>
      <x:c r="I96" s="3"/>
      <x:c r="J96" s="3"/>
      <x:c r="K96" s="4"/>
      <x:c r="L96" s="4">
        <x:f t="shared" si="17"/>
        <x:v>0</x:v>
      </x:c>
      <x:c r="M96" s="5">
        <x:f t="shared" si="16"/>
        <x:v>0</x:v>
      </x:c>
      <x:c r="N96" s="6"/>
    </x:row>
    <x:row r="97" spans="1:14" ht="20.100000000000001" customHeight="1">
      <x:c r="A97" s="299"/>
      <x:c r="B97" s="129" t="s">
        <x:v>762</x:v>
      </x:c>
      <x:c r="C97" s="129"/>
      <x:c r="D97" s="130"/>
      <x:c r="E97" s="130">
        <x:f>+INT(D97*0.1)</x:f>
        <x:v>0</x:v>
      </x:c>
      <x:c r="F97" s="5">
        <x:f t="shared" si="15"/>
        <x:v>0</x:v>
      </x:c>
      <x:c r="G97" s="6"/>
      <x:c r="H97" s="299"/>
      <x:c r="I97" s="3"/>
      <x:c r="J97" s="3"/>
      <x:c r="K97" s="4"/>
      <x:c r="L97" s="4">
        <x:f t="shared" si="17"/>
        <x:v>0</x:v>
      </x:c>
      <x:c r="M97" s="5">
        <x:f t="shared" si="16"/>
        <x:v>0</x:v>
      </x:c>
      <x:c r="N97" s="6"/>
    </x:row>
    <x:row r="98" spans="1:14" ht="20.100000000000001" customHeight="1">
      <x:c r="A98" s="299"/>
      <x:c r="B98" s="3" t="s">
        <x:v>1209</x:v>
      </x:c>
      <x:c r="C98" s="3"/>
      <x:c r="D98" s="4"/>
      <x:c r="E98" s="4">
        <x:f>+D98*0.1</x:f>
        <x:v>0</x:v>
      </x:c>
      <x:c r="F98" s="131">
        <x:f t="shared" si="15"/>
        <x:v>0</x:v>
      </x:c>
      <x:c r="G98" s="6"/>
      <x:c r="H98" s="299"/>
      <x:c r="I98" s="3"/>
      <x:c r="J98" s="3"/>
      <x:c r="K98" s="4"/>
      <x:c r="L98" s="4">
        <x:f t="shared" si="17"/>
        <x:v>0</x:v>
      </x:c>
      <x:c r="M98" s="5">
        <x:f t="shared" si="16"/>
        <x:v>0</x:v>
      </x:c>
      <x:c r="N98" s="6"/>
    </x:row>
    <x:row r="99" spans="1:14" ht="20.100000000000001" customHeight="1">
      <x:c r="A99" s="299"/>
      <x:c r="B99" s="3" t="s">
        <x:v>1016</x:v>
      </x:c>
      <x:c r="C99" s="3" t="s">
        <x:v>1231</x:v>
      </x:c>
      <x:c r="D99" s="4">
        <x:v>6000000</x:v>
      </x:c>
      <x:c r="E99" s="4">
        <x:f>+D99*0.1</x:f>
        <x:v>600000</x:v>
      </x:c>
      <x:c r="F99" s="5">
        <x:f t="shared" si="15"/>
        <x:v>6600000</x:v>
      </x:c>
      <x:c r="G99" s="132"/>
      <x:c r="H99" s="299"/>
      <x:c r="I99" s="3"/>
      <x:c r="J99" s="3"/>
      <x:c r="K99" s="4"/>
      <x:c r="L99" s="4">
        <x:f t="shared" si="17"/>
        <x:v>0</x:v>
      </x:c>
      <x:c r="M99" s="5">
        <x:f t="shared" si="16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 t="shared" si="17"/>
        <x:v>0</x:v>
      </x:c>
      <x:c r="M100" s="5">
        <x:f t="shared" si="16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SUM(D87:D100)</x:f>
        <x:v>38383907</x:v>
      </x:c>
      <x:c r="E101" s="9">
        <x:f>SUM(E87:E100)</x:f>
        <x:v>3838381.7000000002</x:v>
      </x:c>
      <x:c r="F101" s="10">
        <x:f>SUM(F87:F100)</x:f>
        <x:v>42222288.700000003</x:v>
      </x:c>
      <x:c r="G101" s="11"/>
      <x:c r="H101" s="7"/>
      <x:c r="I101" s="8"/>
      <x:c r="J101" s="8"/>
      <x:c r="K101" s="9">
        <x:f>SUM(K87:K100)</x:f>
        <x:v>4292366</x:v>
      </x:c>
      <x:c r="L101" s="9">
        <x:f>SUM(L87:L100)</x:f>
        <x:v>429228.59999999998</x:v>
      </x:c>
      <x:c r="M101" s="10">
        <x:f>SUM(M87:M100)</x:f>
        <x:v>4721594.5999999996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22700000</x:v>
      </x:c>
      <x:c r="E102" s="4"/>
      <x:c r="F102" s="5">
        <x:f>+D102+E102</x:f>
        <x:v>22700000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/>
      <x:c r="C103" s="3"/>
      <x:c r="D103" s="4"/>
      <x:c r="E103" s="4">
        <x:f>+D103*0.1</x:f>
        <x:v>0</x:v>
      </x:c>
      <x:c r="F103" s="5">
        <x:f>+D103+E103</x:f>
        <x:v>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22700000</x:v>
      </x:c>
      <x:c r="E106" s="9">
        <x:f>SUM(E102:E105)</x:f>
        <x:v>0</x:v>
      </x:c>
      <x:c r="F106" s="10">
        <x:f>SUM(F102:F105)</x:f>
        <x:v>22700000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1239</x:v>
      </x:c>
      <x:c r="C107" s="3" t="s">
        <x:v>946</x:v>
      </x:c>
      <x:c r="D107" s="4">
        <x:v>350000</x:v>
      </x:c>
      <x:c r="E107" s="4">
        <x:f>+D107*0.1</x:f>
        <x:v>35000</x:v>
      </x:c>
      <x:c r="F107" s="5">
        <x:f>+D107+E107</x:f>
        <x:v>385000</x:v>
      </x:c>
      <x:c r="G107" s="6"/>
      <x:c r="H107" s="301" t="s">
        <x:v>187</x:v>
      </x:c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>
        <x:v>360000</x:v>
      </x:c>
      <x:c r="E108" s="4">
        <x:f>+D108*0.1</x:f>
        <x:v>36000</x:v>
      </x:c>
      <x:c r="F108" s="5">
        <x:f>+D108+E108</x:f>
        <x:v>396000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710000</x:v>
      </x:c>
      <x:c r="E111" s="9">
        <x:f>SUM(E107:E110)</x:f>
        <x:v>71000</x:v>
      </x:c>
      <x:c r="F111" s="10">
        <x:f>SUM(F107:F110)</x:f>
        <x:v>781000</x:v>
      </x:c>
      <x:c r="G111" s="11"/>
      <x:c r="H111" s="7"/>
      <x:c r="I111" s="8"/>
      <x:c r="J111" s="8"/>
      <x:c r="K111" s="9">
        <x:f>SUM(K107:K110)</x:f>
        <x:v>0</x:v>
      </x:c>
      <x:c r="L111" s="9">
        <x:f>SUM(L107:L110)</x:f>
        <x:v>0</x:v>
      </x:c>
      <x:c r="M111" s="10">
        <x:f>SUM(M107:M110)</x:f>
        <x:v>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752100</x:v>
      </x:c>
      <x:c r="E112" s="4"/>
      <x:c r="F112" s="5">
        <x:f t="shared" ref="F112:F119" si="18">+D112+E112</x:f>
        <x:v>752100</x:v>
      </x:c>
      <x:c r="G112" s="6"/>
      <x:c r="H112" s="301" t="s">
        <x:v>149</x:v>
      </x:c>
      <x:c r="I112" s="3" t="s">
        <x:v>169</x:v>
      </x:c>
      <x:c r="J112" s="3" t="s">
        <x:v>149</x:v>
      </x:c>
      <x:c r="K112" s="4">
        <x:v>143500</x:v>
      </x:c>
      <x:c r="L112" s="4"/>
      <x:c r="M112" s="5">
        <x:f>+K112+L112</x:f>
        <x:v>143500</x:v>
      </x:c>
      <x:c r="N112" s="6"/>
    </x:row>
    <x:row r="113" spans="1:14" ht="20.100000000000001" customHeight="1">
      <x:c r="A113" s="299"/>
      <x:c r="B113" s="3" t="s">
        <x:v>883</x:v>
      </x:c>
      <x:c r="C113" s="3"/>
      <x:c r="D113" s="4"/>
      <x:c r="E113" s="4">
        <x:f t="shared" ref="E113:E119" si="19">+D113*0.1</x:f>
        <x:v>0</x:v>
      </x:c>
      <x:c r="F113" s="5">
        <x:f t="shared" si="18"/>
        <x:v>0</x:v>
      </x:c>
      <x:c r="G113" s="6" t="s">
        <x:v>1259</x:v>
      </x:c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 t="shared" si="19"/>
        <x:v>8000</x:v>
      </x:c>
      <x:c r="F114" s="5">
        <x:f t="shared" si="18"/>
        <x:v>88000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750000</x:v>
      </x:c>
      <x:c r="E115" s="4">
        <x:f t="shared" si="19"/>
        <x:v>75000</x:v>
      </x:c>
      <x:c r="F115" s="5">
        <x:f t="shared" si="18"/>
        <x:v>825000</x:v>
      </x:c>
      <x:c r="G115" s="6"/>
      <x:c r="H115" s="299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95000</x:v>
      </x:c>
      <x:c r="E116" s="4">
        <x:f t="shared" si="19"/>
        <x:v>9500</x:v>
      </x:c>
      <x:c r="F116" s="5">
        <x:f t="shared" si="18"/>
        <x:v>104500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</x:row>
    <x:row r="117" spans="1:14" ht="20.100000000000001" customHeight="1">
      <x:c r="A117" s="299"/>
      <x:c r="B117" s="3" t="s">
        <x:v>247</x:v>
      </x:c>
      <x:c r="C117" s="3" t="s">
        <x:v>231</x:v>
      </x:c>
      <x:c r="D117" s="4">
        <x:v>21000</x:v>
      </x:c>
      <x:c r="E117" s="4">
        <x:f t="shared" si="19"/>
        <x:v>2100</x:v>
      </x:c>
      <x:c r="F117" s="5">
        <x:f t="shared" si="18"/>
        <x:v>23100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 t="s">
        <x:v>771</x:v>
      </x:c>
      <x:c r="C118" s="3" t="s">
        <x:v>1093</x:v>
      </x:c>
      <x:c r="D118" s="4">
        <x:v>1299200</x:v>
      </x:c>
      <x:c r="E118" s="4">
        <x:f t="shared" si="19"/>
        <x:v>129920</x:v>
      </x:c>
      <x:c r="F118" s="5">
        <x:f t="shared" si="18"/>
        <x:v>1429120</x:v>
      </x:c>
      <x:c r="G118" s="6" t="s">
        <x:v>786</x:v>
      </x:c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 t="s">
        <x:v>771</x:v>
      </x:c>
      <x:c r="C119" s="3" t="s">
        <x:v>1234</x:v>
      </x:c>
      <x:c r="D119" s="4">
        <x:v>2475500</x:v>
      </x:c>
      <x:c r="E119" s="4">
        <x:f t="shared" si="19"/>
        <x:v>247550</x:v>
      </x:c>
      <x:c r="F119" s="5">
        <x:f t="shared" si="18"/>
        <x:v>2723050</x:v>
      </x:c>
      <x:c r="G119" s="6" t="s">
        <x:v>786</x:v>
      </x:c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 t="s">
        <x:v>774</x:v>
      </x:c>
      <x:c r="C120" s="3" t="s">
        <x:v>1233</x:v>
      </x:c>
      <x:c r="D120" s="4">
        <x:v>1900000</x:v>
      </x:c>
      <x:c r="E120" s="4">
        <x:f>+D120*0.1</x:f>
        <x:v>190000</x:v>
      </x:c>
      <x:c r="F120" s="5">
        <x:f>+D120+E120</x:f>
        <x:v>2090000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7372800</x:v>
      </x:c>
      <x:c r="E122" s="9">
        <x:f>SUM(E112:E121)</x:f>
        <x:v>662070</x:v>
      </x:c>
      <x:c r="F122" s="10">
        <x:f>SUM(F112:F121)</x:f>
        <x:v>8034870</x:v>
      </x:c>
      <x:c r="G122" s="11"/>
      <x:c r="H122" s="7"/>
      <x:c r="I122" s="8"/>
      <x:c r="J122" s="8"/>
      <x:c r="K122" s="9">
        <x:f>SUM(K112:K121)</x:f>
        <x:v>143500</x:v>
      </x:c>
      <x:c r="L122" s="9">
        <x:f>SUM(L112:L121)</x:f>
        <x:v>0</x:v>
      </x:c>
      <x:c r="M122" s="10">
        <x:f>SUM(M112:M121)</x:f>
        <x:v>143500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69166707</x:v>
      </x:c>
      <x:c r="E123" s="14">
        <x:f>+E101+E106+E111+E122</x:f>
        <x:v>4571451.7000000002</x:v>
      </x:c>
      <x:c r="F123" s="15">
        <x:f>+F101+F106+F111+F122</x:f>
        <x:v>73738158.700000003</x:v>
      </x:c>
      <x:c r="G123" s="16"/>
      <x:c r="H123" s="12"/>
      <x:c r="I123" s="13"/>
      <x:c r="J123" s="13"/>
      <x:c r="K123" s="14">
        <x:f>+K101+K106+K111+K122</x:f>
        <x:v>4435866</x:v>
      </x:c>
      <x:c r="L123" s="14">
        <x:f>+L101+L106+L111+L122</x:f>
        <x:v>429228.59999999998</x:v>
      </x:c>
      <x:c r="M123" s="15">
        <x:f>+M101+M106+M111+M122</x:f>
        <x:v>4865094.5999999996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+D86-D123</x:f>
        <x:v>-29513828</x:v>
      </x:c>
      <x:c r="E124" s="25">
        <x:f>+E86-E123</x:f>
        <x:v>-4224330.7000000002</x:v>
      </x:c>
      <x:c r="F124" s="26">
        <x:f>+F86-F123</x:f>
        <x:v>-33738158.700000003</x:v>
      </x:c>
      <x:c r="G124" s="27"/>
      <x:c r="H124" s="23"/>
      <x:c r="I124" s="24"/>
      <x:c r="J124" s="24"/>
      <x:c r="K124" s="25">
        <x:f>+K86-K123</x:f>
        <x:v>-4435866</x:v>
      </x:c>
      <x:c r="L124" s="25">
        <x:f>+L86-L123</x:f>
        <x:v>-429228.59999999998</x:v>
      </x:c>
      <x:c r="M124" s="26">
        <x:f>+M86-M123</x:f>
        <x:v>-4865094.5999999996</x:v>
      </x:c>
      <x:c r="N124" s="27"/>
    </x:row>
    <x:row r="125" spans="1:14" ht="20.100000000000001" hidden="1" customHeight="1">
      <x:c r="A125" s="302" t="s">
        <x:v>672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hidden="1" customHeight="1">
      <x:c r="A126" s="29" t="s">
        <x:v>147</x:v>
      </x:c>
      <x:c r="B126" s="138" t="s">
        <x:v>144</x:v>
      </x:c>
      <x:c r="C126" s="138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38" t="s">
        <x:v>144</x:v>
      </x:c>
      <x:c r="J126" s="138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hidden="1" customHeight="1">
      <x:c r="A127" s="137" t="s">
        <x:v>151</x:v>
      </x:c>
      <x:c r="B127" s="38" t="s">
        <x:v>1679</x:v>
      </x:c>
      <x:c r="C127" s="38" t="s">
        <x:v>1076</x:v>
      </x:c>
      <x:c r="D127" s="39"/>
      <x:c r="E127" s="39"/>
      <x:c r="F127" s="40">
        <x:f t="shared" ref="F127:F141" si="20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hidden="1" customHeight="1">
      <x:c r="A128" s="298" t="s">
        <x:v>148</x:v>
      </x:c>
      <x:c r="B128" s="54" t="s">
        <x:v>1692</x:v>
      </x:c>
      <x:c r="C128" s="54" t="s">
        <x:v>1142</x:v>
      </x:c>
      <x:c r="D128" s="93"/>
      <x:c r="E128" s="93">
        <x:f>+D128*0.1</x:f>
        <x:v>0</x:v>
      </x:c>
      <x:c r="F128" s="94">
        <x:f t="shared" si="20"/>
        <x:v>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1">+K128+L128</x:f>
        <x:v>0</x:v>
      </x:c>
      <x:c r="N128" s="22"/>
    </x:row>
    <x:row r="129" spans="1:14" ht="20.100000000000001" hidden="1" customHeight="1">
      <x:c r="A129" s="299"/>
      <x:c r="B129" s="3"/>
      <x:c r="C129" s="3"/>
      <x:c r="D129" s="4"/>
      <x:c r="E129" s="4">
        <x:f>+D129*0.1</x:f>
        <x:v>0</x:v>
      </x:c>
      <x:c r="F129" s="5">
        <x:f t="shared" si="20"/>
        <x:v>0</x:v>
      </x:c>
      <x:c r="G129" s="6"/>
      <x:c r="H129" s="299"/>
      <x:c r="I129" s="3"/>
      <x:c r="J129" s="3"/>
      <x:c r="K129" s="4"/>
      <x:c r="L129" s="4">
        <x:f>K129*0.1</x:f>
        <x:v>0</x:v>
      </x:c>
      <x:c r="M129" s="5">
        <x:f t="shared" si="21"/>
        <x:v>0</x:v>
      </x:c>
      <x:c r="N129" s="6"/>
    </x:row>
    <x:row r="130" spans="1:14" ht="20.100000000000001" hidden="1" customHeight="1">
      <x:c r="A130" s="299"/>
      <x:c r="B130" s="3"/>
      <x:c r="C130" s="3"/>
      <x:c r="D130" s="4"/>
      <x:c r="E130" s="4">
        <x:f>+D130*0.1</x:f>
        <x:v>0</x:v>
      </x:c>
      <x:c r="F130" s="5">
        <x:f t="shared" si="20"/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1"/>
        <x:v>0</x:v>
      </x:c>
      <x:c r="N130" s="6"/>
    </x:row>
    <x:row r="131" spans="1:14" ht="20.100000000000001" hidden="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20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1"/>
        <x:v>0</x:v>
      </x:c>
      <x:c r="N131" s="6"/>
    </x:row>
    <x:row r="132" spans="1:14" ht="20.100000000000001" hidden="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20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1"/>
        <x:v>0</x:v>
      </x:c>
      <x:c r="N132" s="6"/>
    </x:row>
    <x:row r="133" spans="1:14" ht="20.100000000000001" hidden="1" customHeight="1">
      <x:c r="A133" s="299"/>
      <x:c r="B133" s="3"/>
      <x:c r="C133" s="3"/>
      <x:c r="D133" s="4"/>
      <x:c r="E133" s="4">
        <x:f t="shared" ref="E133:E141" si="22">+INT(D133*0.1)</x:f>
        <x:v>0</x:v>
      </x:c>
      <x:c r="F133" s="5">
        <x:f t="shared" si="20"/>
        <x:v>0</x:v>
      </x:c>
      <x:c r="G133" s="6"/>
      <x:c r="H133" s="299"/>
      <x:c r="I133" s="3"/>
      <x:c r="J133" s="3"/>
      <x:c r="K133" s="4"/>
      <x:c r="L133" s="4">
        <x:f t="shared" ref="L133:L142" si="23">+K133*0.1</x:f>
        <x:v>0</x:v>
      </x:c>
      <x:c r="M133" s="5">
        <x:f t="shared" si="21"/>
        <x:v>0</x:v>
      </x:c>
      <x:c r="N133" s="6"/>
    </x:row>
    <x:row r="134" spans="1:14" ht="20.100000000000001" hidden="1" customHeight="1">
      <x:c r="A134" s="299"/>
      <x:c r="B134" s="3"/>
      <x:c r="C134" s="3"/>
      <x:c r="D134" s="4"/>
      <x:c r="E134" s="4">
        <x:f t="shared" si="22"/>
        <x:v>0</x:v>
      </x:c>
      <x:c r="F134" s="5">
        <x:f t="shared" si="20"/>
        <x:v>0</x:v>
      </x:c>
      <x:c r="G134" s="6"/>
      <x:c r="H134" s="299"/>
      <x:c r="I134" s="3"/>
      <x:c r="J134" s="3"/>
      <x:c r="K134" s="4"/>
      <x:c r="L134" s="4">
        <x:f t="shared" si="23"/>
        <x:v>0</x:v>
      </x:c>
      <x:c r="M134" s="5">
        <x:f t="shared" si="21"/>
        <x:v>0</x:v>
      </x:c>
      <x:c r="N134" s="6"/>
    </x:row>
    <x:row r="135" spans="1:14" ht="20.100000000000001" hidden="1" customHeight="1">
      <x:c r="A135" s="299"/>
      <x:c r="B135" s="3"/>
      <x:c r="C135" s="3"/>
      <x:c r="D135" s="4"/>
      <x:c r="E135" s="4">
        <x:f t="shared" si="22"/>
        <x:v>0</x:v>
      </x:c>
      <x:c r="F135" s="5">
        <x:f t="shared" si="20"/>
        <x:v>0</x:v>
      </x:c>
      <x:c r="G135" s="6"/>
      <x:c r="H135" s="299"/>
      <x:c r="I135" s="3"/>
      <x:c r="J135" s="3"/>
      <x:c r="K135" s="4"/>
      <x:c r="L135" s="4">
        <x:f t="shared" si="23"/>
        <x:v>0</x:v>
      </x:c>
      <x:c r="M135" s="5">
        <x:f t="shared" si="21"/>
        <x:v>0</x:v>
      </x:c>
      <x:c r="N135" s="6"/>
    </x:row>
    <x:row r="136" spans="1:14" ht="20.100000000000001" hidden="1" customHeight="1">
      <x:c r="A136" s="299"/>
      <x:c r="B136" s="3"/>
      <x:c r="C136" s="3"/>
      <x:c r="D136" s="4"/>
      <x:c r="E136" s="4">
        <x:f t="shared" si="22"/>
        <x:v>0</x:v>
      </x:c>
      <x:c r="F136" s="5">
        <x:f t="shared" si="20"/>
        <x:v>0</x:v>
      </x:c>
      <x:c r="G136" s="6"/>
      <x:c r="H136" s="299"/>
      <x:c r="I136" s="3"/>
      <x:c r="J136" s="3"/>
      <x:c r="K136" s="4"/>
      <x:c r="L136" s="4">
        <x:f t="shared" si="23"/>
        <x:v>0</x:v>
      </x:c>
      <x:c r="M136" s="5">
        <x:f t="shared" si="21"/>
        <x:v>0</x:v>
      </x:c>
      <x:c r="N136" s="6"/>
    </x:row>
    <x:row r="137" spans="1:14" ht="20.100000000000001" hidden="1" customHeight="1">
      <x:c r="A137" s="299"/>
      <x:c r="B137" s="3"/>
      <x:c r="C137" s="3"/>
      <x:c r="D137" s="4"/>
      <x:c r="E137" s="4">
        <x:f t="shared" si="22"/>
        <x:v>0</x:v>
      </x:c>
      <x:c r="F137" s="5">
        <x:f t="shared" si="20"/>
        <x:v>0</x:v>
      </x:c>
      <x:c r="G137" s="6"/>
      <x:c r="H137" s="299"/>
      <x:c r="I137" s="3"/>
      <x:c r="J137" s="3"/>
      <x:c r="K137" s="4"/>
      <x:c r="L137" s="4">
        <x:f t="shared" si="23"/>
        <x:v>0</x:v>
      </x:c>
      <x:c r="M137" s="5">
        <x:f t="shared" si="21"/>
        <x:v>0</x:v>
      </x:c>
      <x:c r="N137" s="6"/>
    </x:row>
    <x:row r="138" spans="1:14" ht="20.100000000000001" hidden="1" customHeight="1">
      <x:c r="A138" s="299"/>
      <x:c r="B138" s="3"/>
      <x:c r="C138" s="3"/>
      <x:c r="D138" s="4"/>
      <x:c r="E138" s="4">
        <x:f t="shared" si="22"/>
        <x:v>0</x:v>
      </x:c>
      <x:c r="F138" s="5">
        <x:f t="shared" si="20"/>
        <x:v>0</x:v>
      </x:c>
      <x:c r="G138" s="6"/>
      <x:c r="H138" s="299"/>
      <x:c r="I138" s="3"/>
      <x:c r="J138" s="3"/>
      <x:c r="K138" s="4"/>
      <x:c r="L138" s="4">
        <x:f t="shared" si="23"/>
        <x:v>0</x:v>
      </x:c>
      <x:c r="M138" s="5">
        <x:f t="shared" si="21"/>
        <x:v>0</x:v>
      </x:c>
      <x:c r="N138" s="6"/>
    </x:row>
    <x:row r="139" spans="1:14" ht="20.100000000000001" hidden="1" customHeight="1">
      <x:c r="A139" s="299"/>
      <x:c r="B139" s="3"/>
      <x:c r="C139" s="3"/>
      <x:c r="D139" s="4"/>
      <x:c r="E139" s="4">
        <x:f t="shared" si="22"/>
        <x:v>0</x:v>
      </x:c>
      <x:c r="F139" s="5">
        <x:f t="shared" si="20"/>
        <x:v>0</x:v>
      </x:c>
      <x:c r="G139" s="6"/>
      <x:c r="H139" s="299"/>
      <x:c r="I139" s="3"/>
      <x:c r="J139" s="3"/>
      <x:c r="K139" s="4"/>
      <x:c r="L139" s="4">
        <x:f t="shared" si="23"/>
        <x:v>0</x:v>
      </x:c>
      <x:c r="M139" s="5">
        <x:f t="shared" si="21"/>
        <x:v>0</x:v>
      </x:c>
      <x:c r="N139" s="6"/>
    </x:row>
    <x:row r="140" spans="1:14" ht="20.100000000000001" hidden="1" customHeight="1">
      <x:c r="A140" s="299"/>
      <x:c r="B140" s="3"/>
      <x:c r="C140" s="3"/>
      <x:c r="D140" s="4"/>
      <x:c r="E140" s="4">
        <x:f t="shared" si="22"/>
        <x:v>0</x:v>
      </x:c>
      <x:c r="F140" s="5">
        <x:f t="shared" si="20"/>
        <x:v>0</x:v>
      </x:c>
      <x:c r="G140" s="6"/>
      <x:c r="H140" s="299"/>
      <x:c r="I140" s="3"/>
      <x:c r="J140" s="3"/>
      <x:c r="K140" s="4"/>
      <x:c r="L140" s="4">
        <x:f t="shared" si="23"/>
        <x:v>0</x:v>
      </x:c>
      <x:c r="M140" s="5">
        <x:f t="shared" si="21"/>
        <x:v>0</x:v>
      </x:c>
      <x:c r="N140" s="6"/>
    </x:row>
    <x:row r="141" spans="1:14" ht="20.100000000000001" hidden="1" customHeight="1">
      <x:c r="A141" s="299"/>
      <x:c r="B141" s="3"/>
      <x:c r="C141" s="3"/>
      <x:c r="D141" s="4"/>
      <x:c r="E141" s="4">
        <x:f t="shared" si="22"/>
        <x:v>0</x:v>
      </x:c>
      <x:c r="F141" s="5">
        <x:f t="shared" si="20"/>
        <x:v>0</x:v>
      </x:c>
      <x:c r="G141" s="6"/>
      <x:c r="H141" s="299"/>
      <x:c r="I141" s="3"/>
      <x:c r="J141" s="3"/>
      <x:c r="K141" s="4"/>
      <x:c r="L141" s="4">
        <x:f t="shared" si="23"/>
        <x:v>0</x:v>
      </x:c>
      <x:c r="M141" s="5">
        <x:f t="shared" si="21"/>
        <x:v>0</x:v>
      </x:c>
      <x:c r="N141" s="6"/>
    </x:row>
    <x:row r="142" spans="1:14" ht="20.100000000000001" hidden="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3"/>
        <x:v>0</x:v>
      </x:c>
      <x:c r="M142" s="5">
        <x:f t="shared" si="21"/>
        <x:v>0</x:v>
      </x:c>
      <x:c r="N142" s="6"/>
    </x:row>
    <x:row r="143" spans="1:14" ht="20.100000000000001" hidden="1" customHeight="1">
      <x:c r="A143" s="7" t="s">
        <x:v>155</x:v>
      </x:c>
      <x:c r="B143" s="8"/>
      <x:c r="C143" s="8"/>
      <x:c r="D143" s="9">
        <x:f>SUM(D128:D142)</x:f>
        <x:v>0</x:v>
      </x:c>
      <x:c r="E143" s="9">
        <x:f>SUM(E128:E142)</x:f>
        <x:v>0</x:v>
      </x:c>
      <x:c r="F143" s="10">
        <x:f>SUM(F128:F142)</x:f>
        <x:v>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hidden="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hidden="1" customHeight="1">
      <x:c r="A145" s="299"/>
      <x:c r="B145" s="3"/>
      <x:c r="C145" s="3"/>
      <x:c r="D145" s="44"/>
      <x:c r="E145" s="44">
        <x:f>+D145*0.1</x:f>
        <x:v>0</x:v>
      </x:c>
      <x:c r="F145" s="45">
        <x:f>+D145+E145</x:f>
        <x:v>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hidden="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hidden="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hidden="1" customHeight="1">
      <x:c r="A148" s="7" t="s">
        <x:v>155</x:v>
      </x:c>
      <x:c r="B148" s="8"/>
      <x:c r="C148" s="8"/>
      <x:c r="D148" s="9">
        <x:f>SUM(D144:D147)</x:f>
        <x:v>0</x:v>
      </x:c>
      <x:c r="E148" s="9">
        <x:f>SUM(E144:E147)</x:f>
        <x:v>0</x:v>
      </x:c>
      <x:c r="F148" s="10">
        <x:f>SUM(F144:F147)</x:f>
        <x:v>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hidden="1" customHeight="1">
      <x:c r="A149" s="301" t="s">
        <x:v>187</x:v>
      </x:c>
      <x:c r="B149" s="3" t="s">
        <x:v>1092</x:v>
      </x:c>
      <x:c r="C149" s="3" t="s">
        <x:v>1081</x:v>
      </x:c>
      <x:c r="D149" s="4"/>
      <x:c r="E149" s="4">
        <x:f>+D149*0.1</x:f>
        <x:v>0</x:v>
      </x:c>
      <x:c r="F149" s="5">
        <x:f>+D149+E149</x:f>
        <x:v>0</x:v>
      </x:c>
      <x:c r="G149" s="6" t="s">
        <x:v>1069</x:v>
      </x:c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hidden="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hidden="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hidden="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hidden="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hidden="1" customHeight="1">
      <x:c r="A154" s="301" t="s">
        <x:v>149</x:v>
      </x:c>
      <x:c r="B154" s="3" t="s">
        <x:v>177</x:v>
      </x:c>
      <x:c r="C154" s="3" t="s">
        <x:v>837</x:v>
      </x:c>
      <x:c r="D154" s="4"/>
      <x:c r="E154" s="4"/>
      <x:c r="F154" s="5">
        <x:f>+D154+E154</x:f>
        <x:v>0</x:v>
      </x:c>
      <x:c r="G154" s="6"/>
      <x:c r="H154" s="301" t="s">
        <x:v>149</x:v>
      </x:c>
      <x:c r="I154" s="3"/>
      <x:c r="J154" s="3"/>
      <x:c r="K154" s="4"/>
      <x:c r="L154" s="4"/>
      <x:c r="M154" s="5">
        <x:f t="shared" ref="M154:M161" si="24">+K154+L154</x:f>
        <x:v>0</x:v>
      </x:c>
      <x:c r="N154" s="6"/>
    </x:row>
    <x:row r="155" spans="1:14" ht="20.100000000000001" hidden="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4"/>
        <x:v>0</x:v>
      </x:c>
      <x:c r="N155" s="6"/>
    </x:row>
    <x:row r="156" spans="1:14" ht="20.100000000000001" hidden="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4"/>
        <x:v>0</x:v>
      </x:c>
      <x:c r="N156" s="6"/>
    </x:row>
    <x:row r="157" spans="1:14" ht="20.100000000000001" hidden="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5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4"/>
        <x:v>0</x:v>
      </x:c>
      <x:c r="N157" s="6"/>
    </x:row>
    <x:row r="158" spans="1:14" ht="20.100000000000001" hidden="1" customHeight="1">
      <x:c r="A158" s="299"/>
      <x:c r="B158" s="3"/>
      <x:c r="C158" s="3"/>
      <x:c r="D158" s="4"/>
      <x:c r="E158" s="4"/>
      <x:c r="F158" s="5">
        <x:f t="shared" si="25"/>
        <x:v>0</x:v>
      </x:c>
      <x:c r="G158" s="6"/>
      <x:c r="H158" s="299"/>
      <x:c r="I158" s="3"/>
      <x:c r="J158" s="3"/>
      <x:c r="K158" s="4"/>
      <x:c r="L158" s="4">
        <x:f t="shared" ref="L158:L163" si="26">+K158*0.1</x:f>
        <x:v>0</x:v>
      </x:c>
      <x:c r="M158" s="5">
        <x:f t="shared" si="24"/>
        <x:v>0</x:v>
      </x:c>
      <x:c r="N158" s="6"/>
    </x:row>
    <x:row r="159" spans="1:14" ht="20.100000000000001" hidden="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5"/>
        <x:v>0</x:v>
      </x:c>
      <x:c r="G159" s="6"/>
      <x:c r="H159" s="299"/>
      <x:c r="I159" s="3"/>
      <x:c r="J159" s="3"/>
      <x:c r="K159" s="4"/>
      <x:c r="L159" s="4">
        <x:f t="shared" si="26"/>
        <x:v>0</x:v>
      </x:c>
      <x:c r="M159" s="5">
        <x:f t="shared" si="24"/>
        <x:v>0</x:v>
      </x:c>
      <x:c r="N159" s="6"/>
    </x:row>
    <x:row r="160" spans="1:14" ht="20.100000000000001" hidden="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5"/>
        <x:v>0</x:v>
      </x:c>
      <x:c r="G160" s="6"/>
      <x:c r="H160" s="299"/>
      <x:c r="I160" s="3"/>
      <x:c r="J160" s="3"/>
      <x:c r="K160" s="4"/>
      <x:c r="L160" s="4">
        <x:f t="shared" si="26"/>
        <x:v>0</x:v>
      </x:c>
      <x:c r="M160" s="5">
        <x:f t="shared" si="24"/>
        <x:v>0</x:v>
      </x:c>
      <x:c r="N160" s="6"/>
    </x:row>
    <x:row r="161" spans="1:14" ht="20.100000000000001" hidden="1" customHeight="1">
      <x:c r="A161" s="299"/>
      <x:c r="B161" s="3"/>
      <x:c r="C161" s="3"/>
      <x:c r="D161" s="4"/>
      <x:c r="E161" s="4"/>
      <x:c r="F161" s="5">
        <x:f t="shared" si="25"/>
        <x:v>0</x:v>
      </x:c>
      <x:c r="G161" s="6"/>
      <x:c r="H161" s="299"/>
      <x:c r="I161" s="3"/>
      <x:c r="J161" s="3"/>
      <x:c r="K161" s="4"/>
      <x:c r="L161" s="4">
        <x:f t="shared" si="26"/>
        <x:v>0</x:v>
      </x:c>
      <x:c r="M161" s="5">
        <x:f t="shared" si="24"/>
        <x:v>0</x:v>
      </x:c>
      <x:c r="N161" s="6"/>
    </x:row>
    <x:row r="162" spans="1:14" ht="20.100000000000001" hidden="1" customHeight="1">
      <x:c r="A162" s="299"/>
      <x:c r="B162" s="3"/>
      <x:c r="C162" s="3"/>
      <x:c r="D162" s="4"/>
      <x:c r="E162" s="4"/>
      <x:c r="F162" s="5">
        <x:f t="shared" si="25"/>
        <x:v>0</x:v>
      </x:c>
      <x:c r="G162" s="6"/>
      <x:c r="H162" s="299"/>
      <x:c r="I162" s="3"/>
      <x:c r="J162" s="3"/>
      <x:c r="K162" s="4"/>
      <x:c r="L162" s="4">
        <x:f t="shared" si="26"/>
        <x:v>0</x:v>
      </x:c>
      <x:c r="M162" s="5"/>
      <x:c r="N162" s="6"/>
    </x:row>
    <x:row r="163" spans="1:14" ht="20.100000000000001" hidden="1" customHeight="1">
      <x:c r="A163" s="300"/>
      <x:c r="B163" s="3"/>
      <x:c r="C163" s="3"/>
      <x:c r="D163" s="4"/>
      <x:c r="E163" s="4"/>
      <x:c r="F163" s="5">
        <x:f t="shared" si="25"/>
        <x:v>0</x:v>
      </x:c>
      <x:c r="G163" s="6"/>
      <x:c r="H163" s="300"/>
      <x:c r="I163" s="3"/>
      <x:c r="J163" s="3"/>
      <x:c r="K163" s="4"/>
      <x:c r="L163" s="4">
        <x:f t="shared" si="26"/>
        <x:v>0</x:v>
      </x:c>
      <x:c r="M163" s="5">
        <x:f>+K163+L163</x:f>
        <x:v>0</x:v>
      </x:c>
      <x:c r="N163" s="6"/>
    </x:row>
    <x:row r="164" spans="1:14" ht="20.100000000000001" hidden="1" customHeight="1">
      <x:c r="A164" s="7" t="s">
        <x:v>155</x:v>
      </x:c>
      <x:c r="B164" s="8"/>
      <x:c r="C164" s="8"/>
      <x:c r="D164" s="9">
        <x:f>SUM(D154:D163)</x:f>
        <x:v>0</x:v>
      </x:c>
      <x:c r="E164" s="9">
        <x:f>SUM(E154:E163)</x:f>
        <x:v>0</x:v>
      </x:c>
      <x:c r="F164" s="10">
        <x:f>SUM(F154:F163)</x:f>
        <x:v>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hidden="1" customHeight="1">
      <x:c r="A165" s="12" t="s">
        <x:v>1690</x:v>
      </x:c>
      <x:c r="B165" s="13"/>
      <x:c r="C165" s="13"/>
      <x:c r="D165" s="14">
        <x:f>+D143+D148+D153+D164</x:f>
        <x:v>0</x:v>
      </x:c>
      <x:c r="E165" s="14">
        <x:f>+E143+E148+E153+E164</x:f>
        <x:v>0</x:v>
      </x:c>
      <x:c r="F165" s="15">
        <x:f>+F143+F148+F153+F164</x:f>
        <x:v>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hidden="1" customHeight="1">
      <x:c r="A166" s="23" t="s">
        <x:v>35</x:v>
      </x:c>
      <x:c r="B166" s="24"/>
      <x:c r="C166" s="24"/>
      <x:c r="D166" s="25">
        <x:f>+D127-D165</x:f>
        <x:v>0</x:v>
      </x:c>
      <x:c r="E166" s="25">
        <x:f>+E127-E165</x:f>
        <x:v>0</x:v>
      </x:c>
      <x:c r="F166" s="26">
        <x:f>+F127-F165</x:f>
        <x:v>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+D17+D60+D101+D143</x:f>
        <x:v>153263212</x:v>
      </x:c>
      <x:c r="E169" s="2">
        <x:f>+E17+E60+E101+E143</x:f>
        <x:v>15326310.699999999</x:v>
      </x:c>
      <x:c r="F169" s="2">
        <x:f>+F17+F60+F101+F143</x:f>
        <x:v>168589522.69999999</x:v>
      </x:c>
      <x:c r="K169" s="2">
        <x:f>+K17+K60+K101+K143</x:f>
        <x:v>63437617</x:v>
      </x:c>
      <x:c r="L169" s="2">
        <x:f>+L17+L60+L101+L143</x:f>
        <x:v>6343744.1999999993</x:v>
      </x:c>
      <x:c r="M169" s="2">
        <x:f>+M17+M60+M101+M143</x:f>
        <x:v>69781361.200000003</x:v>
      </x:c>
    </x:row>
    <x:row r="170" spans="1:13">
      <x:c r="A170" s="1" t="s">
        <x:v>153</x:v>
      </x:c>
      <x:c r="D170" s="2">
        <x:f>+D22+D65+D106+D148</x:f>
        <x:v>89220000</x:v>
      </x:c>
      <x:c r="E170" s="2">
        <x:f>+E22+E65+E106+E148</x:f>
        <x:v>600000</x:v>
      </x:c>
      <x:c r="F170" s="2">
        <x:f>+F22+F65+F106+F148</x:f>
        <x:v>89820000</x:v>
      </x:c>
      <x:c r="K170" s="2">
        <x:f>+K22+K65+K106+K148</x:f>
        <x:v>61380000</x:v>
      </x:c>
      <x:c r="L170" s="2">
        <x:f>+L22+L65+L106+L148</x:f>
        <x:v>2000000</x:v>
      </x:c>
      <x:c r="M170" s="2">
        <x:f>+M22+M65+M106+M148</x:f>
        <x:v>63380000</x:v>
      </x:c>
    </x:row>
    <x:row r="171" spans="1:13" s="2" customFormat="1">
      <x:c r="A171" s="1" t="s">
        <x:v>187</x:v>
      </x:c>
      <x:c r="B171" s="1"/>
      <x:c r="C171" s="1"/>
      <x:c r="D171" s="2">
        <x:f>+D27+D70+D111+D153</x:f>
        <x:v>1660000</x:v>
      </x:c>
      <x:c r="E171" s="2">
        <x:f>+E27+E70+E111+E153</x:f>
        <x:v>166000</x:v>
      </x:c>
      <x:c r="F171" s="2">
        <x:f>+F27+F70+F111+F153</x:f>
        <x:v>1826000</x:v>
      </x:c>
      <x:c r="H171" s="1"/>
      <x:c r="I171" s="1"/>
      <x:c r="J171" s="1"/>
      <x:c r="K171" s="2">
        <x:f>+K27+K70+K111+K153</x:f>
        <x:v>350000</x:v>
      </x:c>
      <x:c r="L171" s="2">
        <x:f>+L27+L70+L111+L153</x:f>
        <x:v>35000</x:v>
      </x:c>
      <x:c r="M171" s="2">
        <x:f>+M27+M70+M111+M153</x:f>
        <x:v>385000</x:v>
      </x:c>
    </x:row>
    <x:row r="172" spans="1:13" s="2" customFormat="1">
      <x:c r="A172" s="1" t="s">
        <x:v>149</x:v>
      </x:c>
      <x:c r="B172" s="1"/>
      <x:c r="C172" s="1"/>
      <x:c r="D172" s="2">
        <x:f>+D38+D81+D122+D164</x:f>
        <x:v>23451735</x:v>
      </x:c>
      <x:c r="E172" s="2">
        <x:f>+E38+E81+E122+E164</x:f>
        <x:v>1428820.3999999999</x:v>
      </x:c>
      <x:c r="F172" s="2">
        <x:f>+F38+F81+F122+F164</x:f>
        <x:v>24880555.399999999</x:v>
      </x:c>
      <x:c r="H172" s="1"/>
      <x:c r="I172" s="1"/>
      <x:c r="J172" s="1"/>
      <x:c r="K172" s="2">
        <x:f>+K38+K81+K122+K164</x:f>
        <x:v>12424817</x:v>
      </x:c>
      <x:c r="L172" s="2">
        <x:f>+L38+L81+L122+L164</x:f>
        <x:v>1027203</x:v>
      </x:c>
      <x:c r="M172" s="2">
        <x:f>+M38+M81+M122+M164</x:f>
        <x:v>13452020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267594947</x:v>
      </x:c>
      <x:c r="E173" s="2">
        <x:f>SUM(E169:E172)</x:f>
        <x:v>17521131.099999998</x:v>
      </x:c>
      <x:c r="F173" s="2">
        <x:f>SUM(F169:F172)</x:f>
        <x:v>285116078.09999996</x:v>
      </x:c>
      <x:c r="H173" s="1"/>
      <x:c r="I173" s="1"/>
      <x:c r="J173" s="1"/>
      <x:c r="K173" s="2">
        <x:f>SUM(K169:K172)</x:f>
        <x:v>137592434</x:v>
      </x:c>
      <x:c r="L173" s="2">
        <x:f>SUM(L169:L172)</x:f>
        <x:v>9405947.1999999993</x:v>
      </x:c>
      <x:c r="M173" s="2">
        <x:f>SUM(M169:M172)</x:f>
        <x:v>146998381.19999999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216700829</x:v>
      </x:c>
      <x:c r="E176" s="2">
        <x:f>+E169+L169</x:f>
        <x:v>21670054.899999999</x:v>
      </x:c>
      <x:c r="F176" s="2">
        <x:f>+F169+M169</x:f>
        <x:v>238370883.89999998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7">+D170+K170</x:f>
        <x:v>150600000</x:v>
      </x:c>
      <x:c r="E177" s="2">
        <x:f t="shared" si="27"/>
        <x:v>2600000</x:v>
      </x:c>
      <x:c r="F177" s="2">
        <x:f t="shared" si="27"/>
        <x:v>153200000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7"/>
        <x:v>2010000</x:v>
      </x:c>
      <x:c r="E178" s="2">
        <x:f t="shared" si="27"/>
        <x:v>201000</x:v>
      </x:c>
      <x:c r="F178" s="2">
        <x:f t="shared" si="27"/>
        <x:v>2211000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7"/>
        <x:v>35876552</x:v>
      </x:c>
      <x:c r="E179" s="2">
        <x:f t="shared" si="27"/>
        <x:v>2456023.3999999999</x:v>
      </x:c>
      <x:c r="F179" s="2">
        <x:f t="shared" si="27"/>
        <x:v>38332575.399999999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405187381</x:v>
      </x:c>
      <x:c r="E180" s="2">
        <x:f>SUM(E176:E179)</x:f>
        <x:v>26927078.299999997</x:v>
      </x:c>
      <x:c r="F180" s="2">
        <x:f>SUM(F176:F179)</x:f>
        <x:v>432114459.29999995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D4+D43+D86+K4+K43+K86+D127+K127</x:f>
        <x:v>111162113</x:v>
      </x:c>
      <x:c r="E181" s="2">
        <x:f>E4+E43+E86+L4+L43+L86</x:f>
        <x:v>837887</x:v>
      </x:c>
      <x:c r="F181" s="2">
        <x:f>F4+F43+F86+M4+M43+M86</x:f>
        <x:v>112000000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-294025268</x:v>
      </x:c>
      <x:c r="E182" s="2">
        <x:f>+E181-E180</x:f>
        <x:v>-26089191.299999997</x:v>
      </x:c>
      <x:c r="F182" s="2">
        <x:f>+F181-F180</x:f>
        <x:v>-320114459.29999995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1:A80"/>
    <x:mergeCell ref="H71:H80"/>
    <x:mergeCell ref="A84:G84"/>
    <x:mergeCell ref="H84:N84"/>
    <x:mergeCell ref="A87:A100"/>
    <x:mergeCell ref="H87:H100"/>
    <x:mergeCell ref="A44:A59"/>
    <x:mergeCell ref="H44:H59"/>
    <x:mergeCell ref="A61:A64"/>
    <x:mergeCell ref="H61:H64"/>
    <x:mergeCell ref="A66:A69"/>
    <x:mergeCell ref="H66:H69"/>
    <x:mergeCell ref="A23:A26"/>
    <x:mergeCell ref="H23:H26"/>
    <x:mergeCell ref="A28:A37"/>
    <x:mergeCell ref="H28:H37"/>
    <x:mergeCell ref="A41:G41"/>
    <x:mergeCell ref="H41:N4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2" manualBreakCount="2">
    <x:brk id="40" min="0" max="1048575" man="1" pt="0"/>
    <x:brk id="83" min="0" max="1048575" man="1" pt="0"/>
  </x:rowBreaks>
</x:worksheet>
</file>

<file path=xl/worksheets/sheet4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S114"/>
  <x:sheetViews>
    <x:sheetView view="pageBreakPreview" topLeftCell="A1" zoomScaleNormal="100" zoomScaleSheetLayoutView="100" workbookViewId="0">
      <x:selection activeCell="L12" activeCellId="0" sqref="L12:L12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1791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51"/>
      <x:c r="C2" s="151"/>
      <x:c r="D2" s="151"/>
      <x:c r="E2" s="151"/>
      <x:c r="F2" s="151"/>
      <x:c r="G2" s="151"/>
      <x:c r="H2" s="151"/>
      <x:c r="I2" s="151"/>
      <x:c r="J2" s="151"/>
      <x:c r="K2" s="151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53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'20년12월(세부내역)'!D4</x:f>
        <x:v>58140000</x:v>
      </x:c>
      <x:c r="F5" s="67">
        <x:f>'20년12월(세부내역)'!D17</x:f>
        <x:v>228835810</x:v>
      </x:c>
      <x:c r="G5" s="67">
        <x:f>'20년12월(세부내역)'!D22</x:f>
        <x:v>43530000</x:v>
      </x:c>
      <x:c r="H5" s="67">
        <x:f>'20년12월(세부내역)'!D27</x:f>
        <x:v>0</x:v>
      </x:c>
      <x:c r="I5" s="67">
        <x:f>'20년12월(세부내역)'!D38</x:f>
        <x:v>8633076</x:v>
      </x:c>
      <x:c r="J5" s="75">
        <x:f t="shared" ref="J5:J11" si="0">+SUM(F5:I5)</x:f>
        <x:v>280998886</x:v>
      </x:c>
      <x:c r="K5" s="141">
        <x:f t="shared" ref="K5:K11" si="1">E5-J5</x:f>
        <x:v>-222858886</x:v>
      </x:c>
      <x:c r="L5" s="119" t="s">
        <x:v>106</x:v>
      </x:c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'20년12월(세부내역)'!K4</x:f>
        <x:v>49890000</x:v>
      </x:c>
      <x:c r="F6" s="59">
        <x:f>+'20년12월(세부내역)'!K17</x:f>
        <x:v>37698877</x:v>
      </x:c>
      <x:c r="G6" s="59">
        <x:f>'20년12월(세부내역)'!K22</x:f>
        <x:v>34544230</x:v>
      </x:c>
      <x:c r="H6" s="59">
        <x:f>'20년12월(세부내역)'!K27</x:f>
        <x:v>1020000</x:v>
      </x:c>
      <x:c r="I6" s="59">
        <x:f>'20년12월(세부내역)'!K38</x:f>
        <x:v>7401741</x:v>
      </x:c>
      <x:c r="J6" s="75">
        <x:f t="shared" si="0"/>
        <x:v>80664848</x:v>
      </x:c>
      <x:c r="K6" s="140">
        <x:f t="shared" si="1"/>
        <x:v>-30774848</x:v>
      </x:c>
      <x:c r="L6" s="59"/>
    </x:row>
    <x:row r="7" spans="1:12" ht="30" customHeight="1">
      <x:c r="A7" s="63">
        <x:v>3</x:v>
      </x:c>
      <x:c r="B7" s="63" t="s">
        <x:v>871</x:v>
      </x:c>
      <x:c r="C7" s="63" t="s">
        <x:v>1065</x:v>
      </x:c>
      <x:c r="D7" s="115" t="s">
        <x:v>107</x:v>
      </x:c>
      <x:c r="E7" s="74">
        <x:f>'20년12월(세부내역)'!D43</x:f>
        <x:v>95324302</x:v>
      </x:c>
      <x:c r="F7" s="59">
        <x:f>+'20년12월(세부내역)'!D60</x:f>
        <x:v>3196138</x:v>
      </x:c>
      <x:c r="G7" s="59">
        <x:f>'20년12월(세부내역)'!D65</x:f>
        <x:v>34126130</x:v>
      </x:c>
      <x:c r="H7" s="59">
        <x:f>'20년12월(세부내역)'!D70</x:f>
        <x:v>0</x:v>
      </x:c>
      <x:c r="I7" s="59">
        <x:f>'20년12월(세부내역)'!D81</x:f>
        <x:v>2291600</x:v>
      </x:c>
      <x:c r="J7" s="75">
        <x:f t="shared" si="0"/>
        <x:v>39613868</x:v>
      </x:c>
      <x:c r="K7" s="141">
        <x:f t="shared" si="1"/>
        <x:v>55710434</x:v>
      </x:c>
      <x:c r="L7" s="119"/>
    </x:row>
    <x:row r="8" spans="1:12" ht="30" customHeight="1">
      <x:c r="A8" s="63">
        <x:v>4</x:v>
      </x:c>
      <x:c r="B8" s="63" t="s">
        <x:v>1021</x:v>
      </x:c>
      <x:c r="C8" s="63" t="s">
        <x:v>1065</x:v>
      </x:c>
      <x:c r="D8" s="115" t="s">
        <x:v>113</x:v>
      </x:c>
      <x:c r="E8" s="74">
        <x:f>'20년12월(세부내역)'!K43</x:f>
        <x:v>39579234</x:v>
      </x:c>
      <x:c r="F8" s="59">
        <x:f>'20년12월(세부내역)'!K60</x:f>
        <x:v>67888750</x:v>
      </x:c>
      <x:c r="G8" s="59">
        <x:f>'20년12월(세부내역)'!K65</x:f>
        <x:v>43548570</x:v>
      </x:c>
      <x:c r="H8" s="59">
        <x:f>'20년12월(세부내역)'!K70</x:f>
        <x:v>2150000</x:v>
      </x:c>
      <x:c r="I8" s="59">
        <x:f>'20년12월(세부내역)'!K81</x:f>
        <x:v>8775550</x:v>
      </x:c>
      <x:c r="J8" s="75">
        <x:f t="shared" si="0"/>
        <x:v>122362870</x:v>
      </x:c>
      <x:c r="K8" s="141">
        <x:f t="shared" si="1"/>
        <x:v>-82783636</x:v>
      </x:c>
      <x:c r="L8" s="119"/>
    </x:row>
    <x:row r="9" spans="1:12" ht="30" customHeight="1">
      <x:c r="A9" s="63">
        <x:v>5</x:v>
      </x:c>
      <x:c r="B9" s="63" t="s">
        <x:v>1025</x:v>
      </x:c>
      <x:c r="C9" s="63" t="s">
        <x:v>1065</x:v>
      </x:c>
      <x:c r="D9" s="115" t="s">
        <x:v>115</x:v>
      </x:c>
      <x:c r="E9" s="74">
        <x:f>'20년12월(세부내역)'!D86</x:f>
        <x:v>29739660</x:v>
      </x:c>
      <x:c r="F9" s="59">
        <x:f>'20년12월(세부내역)'!D101</x:f>
        <x:v>53590250</x:v>
      </x:c>
      <x:c r="G9" s="59">
        <x:f>'20년12월(세부내역)'!D106</x:f>
        <x:v>36841530</x:v>
      </x:c>
      <x:c r="H9" s="59">
        <x:f>'20년12월(세부내역)'!D111</x:f>
        <x:v>350000</x:v>
      </x:c>
      <x:c r="I9" s="59">
        <x:f>'20년12월(세부내역)'!D122</x:f>
        <x:v>4104104</x:v>
      </x:c>
      <x:c r="J9" s="75">
        <x:f>+SUM(F9:I9)</x:f>
        <x:v>94885884</x:v>
      </x:c>
      <x:c r="K9" s="141">
        <x:f t="shared" si="1"/>
        <x:v>-65146224</x:v>
      </x:c>
      <x:c r="L9" s="119"/>
    </x:row>
    <x:row r="10" spans="1:12" ht="30" customHeight="1">
      <x:c r="A10" s="63">
        <x:v>6</x:v>
      </x:c>
      <x:c r="B10" s="63" t="s">
        <x:v>415</x:v>
      </x:c>
      <x:c r="C10" s="63" t="s">
        <x:v>791</x:v>
      </x:c>
      <x:c r="D10" s="115" t="s">
        <x:v>95</x:v>
      </x:c>
      <x:c r="E10" s="74">
        <x:f>'20년12월(세부내역)'!K86</x:f>
        <x:v>0</x:v>
      </x:c>
      <x:c r="F10" s="59">
        <x:f>'20년12월(세부내역)'!K101</x:f>
        <x:v>10980714</x:v>
      </x:c>
      <x:c r="G10" s="59">
        <x:f>'20년12월(세부내역)'!K106</x:f>
        <x:v>0</x:v>
      </x:c>
      <x:c r="H10" s="59">
        <x:f>'20년12월(세부내역)'!K111</x:f>
        <x:v>450000</x:v>
      </x:c>
      <x:c r="I10" s="59">
        <x:f>'20년12월(세부내역)'!K122</x:f>
        <x:v>1378580</x:v>
      </x:c>
      <x:c r="J10" s="75">
        <x:f>+SUM(F10:I10)</x:f>
        <x:v>12809294</x:v>
      </x:c>
      <x:c r="K10" s="141">
        <x:f>E10-J10</x:f>
        <x:v>-12809294</x:v>
      </x:c>
      <x:c r="L10" s="119"/>
    </x:row>
    <x:row r="11" spans="1:12" ht="30" customHeight="1">
      <x:c r="A11" s="63">
        <x:v>7</x:v>
      </x:c>
      <x:c r="B11" s="63" t="s">
        <x:v>789</x:v>
      </x:c>
      <x:c r="C11" s="63" t="s">
        <x:v>156</x:v>
      </x:c>
      <x:c r="D11" s="115" t="s">
        <x:v>96</x:v>
      </x:c>
      <x:c r="E11" s="74">
        <x:f>'20년12월(세부내역)'!D127</x:f>
        <x:v>0</x:v>
      </x:c>
      <x:c r="F11" s="59">
        <x:f>'20년12월(세부내역)'!D143</x:f>
        <x:v>105070000</x:v>
      </x:c>
      <x:c r="G11" s="59">
        <x:f>'20년12월(세부내역)'!D148</x:f>
        <x:v>7000000</x:v>
      </x:c>
      <x:c r="H11" s="59">
        <x:f>'20년12월(세부내역)'!D153</x:f>
        <x:v>0</x:v>
      </x:c>
      <x:c r="I11" s="59">
        <x:f>'20년12월(세부내역)'!D164</x:f>
        <x:v>4500000</x:v>
      </x:c>
      <x:c r="J11" s="75">
        <x:f t="shared" si="0"/>
        <x:v>116570000</x:v>
      </x:c>
      <x:c r="K11" s="141">
        <x:f t="shared" si="1"/>
        <x:v>-116570000</x:v>
      </x:c>
      <x:c r="L11" s="119" t="s">
        <x:v>421</x:v>
      </x:c>
    </x:row>
    <x:row r="12" spans="1:12" ht="30" customHeight="1">
      <x:c r="A12" s="64"/>
      <x:c r="B12" s="64" t="s">
        <x:v>1690</x:v>
      </x:c>
      <x:c r="C12" s="64"/>
      <x:c r="D12" s="64"/>
      <x:c r="E12" s="68">
        <x:f t="shared" ref="E12:K12" si="2">SUM(E5:E11)</x:f>
        <x:v>272673196</x:v>
      </x:c>
      <x:c r="F12" s="66">
        <x:f t="shared" si="2"/>
        <x:v>507260539</x:v>
      </x:c>
      <x:c r="G12" s="66">
        <x:f t="shared" si="2"/>
        <x:v>199590460</x:v>
      </x:c>
      <x:c r="H12" s="66">
        <x:f t="shared" si="2"/>
        <x:v>3970000</x:v>
      </x:c>
      <x:c r="I12" s="66">
        <x:f t="shared" si="2"/>
        <x:v>37084651</x:v>
      </x:c>
      <x:c r="J12" s="69">
        <x:f t="shared" si="2"/>
        <x:v>747905650</x:v>
      </x:c>
      <x:c r="K12" s="142">
        <x:f t="shared" si="2"/>
        <x:v>-475232454</x:v>
      </x:c>
      <x:c r="L12" s="66"/>
    </x:row>
    <x:row r="24" spans="1:19" s="2" customFormat="1">
      <x:c r="A24" s="1"/>
      <x:c r="B24" s="1"/>
      <x:c r="C24" s="1"/>
      <x:c r="D24" s="1"/>
      <x:c r="E24" s="1"/>
      <x:c r="J24" s="1"/>
      <x:c r="K24" s="1"/>
      <x:c r="M24" s="1"/>
      <x:c r="N24" s="1"/>
      <x:c r="O24" s="1"/>
      <x:c r="P24" s="1"/>
      <x:c r="Q24" s="1"/>
      <x:c r="R24" s="1"/>
      <x:c r="S24" s="1"/>
    </x:row>
    <x:row r="114" spans="4:4">
      <x:c r="D114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4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N182"/>
  <x:sheetViews>
    <x:sheetView view="pageBreakPreview" topLeftCell="A52" zoomScaleNormal="100" zoomScaleSheetLayoutView="100" workbookViewId="0">
      <x:selection activeCell="B75" activeCellId="0" sqref="B75:G7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1794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53" t="s">
        <x:v>144</x:v>
      </x:c>
      <x:c r="C3" s="153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53" t="s">
        <x:v>144</x:v>
      </x:c>
      <x:c r="J3" s="153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58140000</x:v>
      </x:c>
      <x:c r="E4" s="39">
        <x:v>1860000</x:v>
      </x:c>
      <x:c r="F4" s="40">
        <x:f>+D4+E4</x:f>
        <x:v>60000000</x:v>
      </x:c>
      <x:c r="G4" s="42"/>
      <x:c r="H4" s="152" t="s">
        <x:v>151</x:v>
      </x:c>
      <x:c r="I4" s="38" t="s">
        <x:v>1679</x:v>
      </x:c>
      <x:c r="J4" s="38" t="s">
        <x:v>1030</x:v>
      </x:c>
      <x:c r="K4" s="39">
        <x:v>49890000</x:v>
      </x:c>
      <x:c r="L4" s="39">
        <x:v>110000</x:v>
      </x:c>
      <x:c r="M4" s="40">
        <x:f>+K4+L4</x:f>
        <x:v>50000000</x:v>
      </x:c>
      <x:c r="N4" s="18"/>
    </x:row>
    <x:row r="5" spans="1:14" ht="20.100000000000001" customHeight="1">
      <x:c r="A5" s="298" t="s">
        <x:v>148</x:v>
      </x:c>
      <x:c r="B5" s="19" t="s">
        <x:v>902</x:v>
      </x:c>
      <x:c r="C5" s="54" t="s">
        <x:v>1</x:v>
      </x:c>
      <x:c r="D5" s="20">
        <x:v>3265810</x:v>
      </x:c>
      <x:c r="E5" s="20">
        <x:f>+D5*0.1</x:f>
        <x:v>326581</x:v>
      </x:c>
      <x:c r="F5" s="21">
        <x:f t="shared" ref="F5:F16" si="0">+D5+E5</x:f>
        <x:v>3592391</x:v>
      </x:c>
      <x:c r="G5" s="22"/>
      <x:c r="H5" s="298" t="s">
        <x:v>148</x:v>
      </x:c>
      <x:c r="I5" s="19" t="s">
        <x:v>838</x:v>
      </x:c>
      <x:c r="J5" s="19" t="s">
        <x:v>1055</x:v>
      </x:c>
      <x:c r="K5" s="20">
        <x:v>205000</x:v>
      </x:c>
      <x:c r="L5" s="20">
        <x:f t="shared" ref="L5:L13" si="1">+K5*0.1</x:f>
        <x:v>20500</x:v>
      </x:c>
      <x:c r="M5" s="21">
        <x:f t="shared" ref="M5:M21" si="2">+K5+L5</x:f>
        <x:v>225500</x:v>
      </x:c>
      <x:c r="N5" s="22"/>
    </x:row>
    <x:row r="6" spans="1:14" ht="20.100000000000001" customHeight="1">
      <x:c r="A6" s="299"/>
      <x:c r="B6" s="3" t="s">
        <x:v>938</x:v>
      </x:c>
      <x:c r="C6" s="3" t="s">
        <x:v>953</x:v>
      </x:c>
      <x:c r="D6" s="4">
        <x:v>740000</x:v>
      </x:c>
      <x:c r="E6" s="4">
        <x:f t="shared" ref="E6:E16" si="3">+D6*0.1</x:f>
        <x:v>74000</x:v>
      </x:c>
      <x:c r="F6" s="5">
        <x:f t="shared" si="0"/>
        <x:v>814000</x:v>
      </x:c>
      <x:c r="G6" s="37" t="s">
        <x:v>1283</x:v>
      </x:c>
      <x:c r="H6" s="299"/>
      <x:c r="I6" s="3" t="s">
        <x:v>867</x:v>
      </x:c>
      <x:c r="J6" s="3" t="s">
        <x:v>104</x:v>
      </x:c>
      <x:c r="K6" s="4">
        <x:v>34588467</x:v>
      </x:c>
      <x:c r="L6" s="4">
        <x:f>+K6*0.1-1</x:f>
        <x:v>3458845.7000000002</x:v>
      </x:c>
      <x:c r="M6" s="5">
        <x:f t="shared" si="2"/>
        <x:v>38047312.700000003</x:v>
      </x:c>
      <x:c r="N6" s="6"/>
    </x:row>
    <x:row r="7" spans="1:14" ht="20.100000000000001" customHeight="1">
      <x:c r="A7" s="299"/>
      <x:c r="B7" s="3" t="s">
        <x:v>1243</x:v>
      </x:c>
      <x:c r="C7" s="3" t="s">
        <x:v>1272</x:v>
      </x:c>
      <x:c r="D7" s="4">
        <x:v>9984000</x:v>
      </x:c>
      <x:c r="E7" s="4">
        <x:f t="shared" si="3"/>
        <x:v>998400</x:v>
      </x:c>
      <x:c r="F7" s="5">
        <x:f t="shared" si="0"/>
        <x:v>10982400</x:v>
      </x:c>
      <x:c r="G7" s="37" t="s">
        <x:v>243</x:v>
      </x:c>
      <x:c r="H7" s="299"/>
      <x:c r="I7" s="3" t="s">
        <x:v>1119</x:v>
      </x:c>
      <x:c r="J7" s="3" t="s">
        <x:v>794</x:v>
      </x:c>
      <x:c r="K7" s="4">
        <x:v>152000</x:v>
      </x:c>
      <x:c r="L7" s="4">
        <x:f t="shared" si="1"/>
        <x:v>15200</x:v>
      </x:c>
      <x:c r="M7" s="5">
        <x:f t="shared" si="2"/>
        <x:v>167200</x:v>
      </x:c>
      <x:c r="N7" s="6"/>
    </x:row>
    <x:row r="8" spans="1:14" ht="20.100000000000001" customHeight="1">
      <x:c r="A8" s="299"/>
      <x:c r="B8" s="3" t="s">
        <x:v>840</x:v>
      </x:c>
      <x:c r="C8" s="3" t="s">
        <x:v>1263</x:v>
      </x:c>
      <x:c r="D8" s="4">
        <x:v>600000</x:v>
      </x:c>
      <x:c r="E8" s="4">
        <x:f>+D8*0.1</x:f>
        <x:v>60000</x:v>
      </x:c>
      <x:c r="F8" s="5">
        <x:f>+D8+E8</x:f>
        <x:v>660000</x:v>
      </x:c>
      <x:c r="G8" s="37" t="s">
        <x:v>240</x:v>
      </x:c>
      <x:c r="H8" s="299"/>
      <x:c r="I8" s="3" t="s">
        <x:v>976</x:v>
      </x:c>
      <x:c r="J8" s="3"/>
      <x:c r="K8" s="4"/>
      <x:c r="L8" s="4">
        <x:f t="shared" si="1"/>
        <x:v>0</x:v>
      </x:c>
      <x:c r="M8" s="5">
        <x:f t="shared" si="2"/>
        <x:v>0</x:v>
      </x:c>
      <x:c r="N8" s="6"/>
    </x:row>
    <x:row r="9" spans="1:14" ht="20.100000000000001" customHeight="1">
      <x:c r="A9" s="299"/>
      <x:c r="B9" s="3" t="s">
        <x:v>840</x:v>
      </x:c>
      <x:c r="C9" s="3" t="s">
        <x:v>1279</x:v>
      </x:c>
      <x:c r="D9" s="4">
        <x:v>233000</x:v>
      </x:c>
      <x:c r="E9" s="4">
        <x:f>+D9*0.1</x:f>
        <x:v>23300</x:v>
      </x:c>
      <x:c r="F9" s="45">
        <x:f>+D9+E9</x:f>
        <x:v>256300</x:v>
      </x:c>
      <x:c r="G9" s="37" t="s">
        <x:v>243</x:v>
      </x:c>
      <x:c r="H9" s="299"/>
      <x:c r="I9" s="3" t="s">
        <x:v>840</x:v>
      </x:c>
      <x:c r="J9" s="3" t="s">
        <x:v>1183</x:v>
      </x:c>
      <x:c r="K9" s="4">
        <x:v>416740</x:v>
      </x:c>
      <x:c r="L9" s="4">
        <x:f t="shared" si="1"/>
        <x:v>41674</x:v>
      </x:c>
      <x:c r="M9" s="5">
        <x:f t="shared" si="2"/>
        <x:v>458414</x:v>
      </x:c>
      <x:c r="N9" s="6"/>
    </x:row>
    <x:row r="10" spans="1:14" ht="20.100000000000001" customHeight="1">
      <x:c r="A10" s="299"/>
      <x:c r="B10" s="3" t="s">
        <x:v>846</x:v>
      </x:c>
      <x:c r="C10" s="3"/>
      <x:c r="D10" s="4">
        <x:v>4065000</x:v>
      </x:c>
      <x:c r="E10" s="4">
        <x:f>+D10*0.1</x:f>
        <x:v>406500</x:v>
      </x:c>
      <x:c r="F10" s="5">
        <x:f>+D10+E10</x:f>
        <x:v>4471500</x:v>
      </x:c>
      <x:c r="G10" s="6"/>
      <x:c r="H10" s="299"/>
      <x:c r="I10" s="3" t="s">
        <x:v>846</x:v>
      </x:c>
      <x:c r="J10" s="3" t="s">
        <x:v>1178</x:v>
      </x:c>
      <x:c r="K10" s="4">
        <x:f>856370-562000</x:f>
        <x:v>294370</x:v>
      </x:c>
      <x:c r="L10" s="4">
        <x:f t="shared" si="1"/>
        <x:v>29437</x:v>
      </x:c>
      <x:c r="M10" s="5">
        <x:f t="shared" si="2"/>
        <x:v>323807</x:v>
      </x:c>
      <x:c r="N10" s="6"/>
    </x:row>
    <x:row r="11" spans="1:14" ht="20.100000000000001" customHeight="1">
      <x:c r="A11" s="299"/>
      <x:c r="B11" s="154" t="s">
        <x:v>902</x:v>
      </x:c>
      <x:c r="C11" s="155" t="s">
        <x:v>235</x:v>
      </x:c>
      <x:c r="D11" s="156">
        <x:v>10010000</x:v>
      </x:c>
      <x:c r="E11" s="156">
        <x:f t="shared" si="3"/>
        <x:v>1001000</x:v>
      </x:c>
      <x:c r="F11" s="157">
        <x:f t="shared" si="0"/>
        <x:v>11011000</x:v>
      </x:c>
      <x:c r="G11" s="158" t="s">
        <x:v>246</x:v>
      </x:c>
      <x:c r="H11" s="299"/>
      <x:c r="I11" s="3" t="s">
        <x:v>846</x:v>
      </x:c>
      <x:c r="J11" s="3" t="s">
        <x:v>1694</x:v>
      </x:c>
      <x:c r="K11" s="4">
        <x:v>562000</x:v>
      </x:c>
      <x:c r="L11" s="4">
        <x:f t="shared" si="1"/>
        <x:v>56200</x:v>
      </x:c>
      <x:c r="M11" s="5">
        <x:f t="shared" si="2"/>
        <x:v>618200</x:v>
      </x:c>
      <x:c r="N11" s="6"/>
    </x:row>
    <x:row r="12" spans="1:14" ht="20.100000000000001" customHeight="1">
      <x:c r="A12" s="299"/>
      <x:c r="B12" s="155" t="s">
        <x:v>867</x:v>
      </x:c>
      <x:c r="C12" s="155" t="s">
        <x:v>235</x:v>
      </x:c>
      <x:c r="D12" s="156">
        <x:v>199938000</x:v>
      </x:c>
      <x:c r="E12" s="156">
        <x:f t="shared" si="3"/>
        <x:v>19993800</x:v>
      </x:c>
      <x:c r="F12" s="157">
        <x:f t="shared" si="0"/>
        <x:v>219931800</x:v>
      </x:c>
      <x:c r="G12" s="158" t="s">
        <x:v>1291</x:v>
      </x:c>
      <x:c r="H12" s="299"/>
      <x:c r="I12" s="3" t="s">
        <x:v>1705</x:v>
      </x:c>
      <x:c r="J12" s="3"/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3"/>
        <x:v>0</x:v>
      </x:c>
      <x:c r="F13" s="45">
        <x:f t="shared" si="0"/>
        <x:v>0</x:v>
      </x:c>
      <x:c r="G13" s="6"/>
      <x:c r="H13" s="299"/>
      <x:c r="I13" s="3" t="s">
        <x:v>854</x:v>
      </x:c>
      <x:c r="J13" s="3" t="s">
        <x:v>801</x:v>
      </x:c>
      <x:c r="K13" s="4">
        <x:v>35400</x:v>
      </x:c>
      <x:c r="L13" s="4">
        <x:f t="shared" si="1"/>
        <x:v>3540</x:v>
      </x:c>
      <x:c r="M13" s="5">
        <x:f t="shared" si="2"/>
        <x:v>38940</x:v>
      </x:c>
      <x:c r="N13" s="6"/>
    </x:row>
    <x:row r="14" spans="1:14" ht="20.100000000000001" customHeight="1">
      <x:c r="A14" s="299"/>
      <x:c r="B14" s="3"/>
      <x:c r="C14" s="3"/>
      <x:c r="D14" s="4"/>
      <x:c r="E14" s="4">
        <x:f t="shared" si="3"/>
        <x:v>0</x:v>
      </x:c>
      <x:c r="F14" s="45">
        <x:f t="shared" si="0"/>
        <x:v>0</x:v>
      </x:c>
      <x:c r="G14" s="6"/>
      <x:c r="H14" s="299"/>
      <x:c r="I14" s="3" t="s">
        <x:v>1058</x:v>
      </x:c>
      <x:c r="J14" s="3" t="s">
        <x:v>98</x:v>
      </x:c>
      <x:c r="K14" s="4">
        <x:v>483900</x:v>
      </x:c>
      <x:c r="L14" s="4">
        <x:f>INT(K14*0.1)</x:f>
        <x:v>48390</x:v>
      </x:c>
      <x:c r="M14" s="5">
        <x:f t="shared" si="2"/>
        <x:v>532290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3"/>
        <x:v>0</x:v>
      </x:c>
      <x:c r="F15" s="45">
        <x:f t="shared" si="0"/>
        <x:v>0</x:v>
      </x:c>
      <x:c r="G15" s="6"/>
      <x:c r="H15" s="299"/>
      <x:c r="I15" s="3" t="s">
        <x:v>1070</x:v>
      </x:c>
      <x:c r="J15" s="3" t="s">
        <x:v>778</x:v>
      </x:c>
      <x:c r="K15" s="4">
        <x:v>616000</x:v>
      </x:c>
      <x:c r="L15" s="4">
        <x:f>K15*0.1</x:f>
        <x:v>61600</x:v>
      </x:c>
      <x:c r="M15" s="5">
        <x:f t="shared" si="2"/>
        <x:v>677600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3"/>
        <x:v>0</x:v>
      </x:c>
      <x:c r="F16" s="45">
        <x:f t="shared" si="0"/>
        <x:v>0</x:v>
      </x:c>
      <x:c r="G16" s="6"/>
      <x:c r="H16" s="300"/>
      <x:c r="I16" s="3" t="s">
        <x:v>1039</x:v>
      </x:c>
      <x:c r="J16" s="3" t="s">
        <x:v>253</x:v>
      </x:c>
      <x:c r="K16" s="4">
        <x:v>345000</x:v>
      </x:c>
      <x:c r="L16" s="4">
        <x:f>K16*0.1</x:f>
        <x:v>34500</x:v>
      </x:c>
      <x:c r="M16" s="5">
        <x:f t="shared" si="2"/>
        <x:v>379500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228835810</x:v>
      </x:c>
      <x:c r="E17" s="9">
        <x:f>SUM(E5:E16)</x:f>
        <x:v>22883581</x:v>
      </x:c>
      <x:c r="F17" s="10">
        <x:f>SUM(F5:F16)</x:f>
        <x:v>251719391</x:v>
      </x:c>
      <x:c r="G17" s="11"/>
      <x:c r="H17" s="7"/>
      <x:c r="I17" s="8"/>
      <x:c r="J17" s="8"/>
      <x:c r="K17" s="9">
        <x:f>SUM(K5:K16)</x:f>
        <x:v>37698877</x:v>
      </x:c>
      <x:c r="L17" s="9">
        <x:f>SUM(L5:L16)</x:f>
        <x:v>3769886.7000000002</x:v>
      </x:c>
      <x:c r="M17" s="10">
        <x:f>SUM(M5:M16)</x:f>
        <x:v>41468763.700000003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21270000</x:v>
      </x:c>
      <x:c r="E18" s="44"/>
      <x:c r="F18" s="45">
        <x:f>+D18+E18</x:f>
        <x:v>21270000</x:v>
      </x:c>
      <x:c r="G18" s="37" t="s">
        <x:v>240</x:v>
      </x:c>
      <x:c r="H18" s="301" t="s">
        <x:v>153</x:v>
      </x:c>
      <x:c r="I18" s="3" t="s">
        <x:v>1677</x:v>
      </x:c>
      <x:c r="J18" s="3" t="s">
        <x:v>1083</x:v>
      </x:c>
      <x:c r="K18" s="4">
        <x:v>22930000</x:v>
      </x:c>
      <x:c r="L18" s="4"/>
      <x:c r="M18" s="5">
        <x:f t="shared" si="2"/>
        <x:v>22930000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1280</x:v>
      </x:c>
      <x:c r="D19" s="4">
        <x:v>17260000</x:v>
      </x:c>
      <x:c r="E19" s="4"/>
      <x:c r="F19" s="5">
        <x:f>+D19+E19</x:f>
        <x:v>17260000</x:v>
      </x:c>
      <x:c r="G19" s="37" t="s">
        <x:v>243</x:v>
      </x:c>
      <x:c r="H19" s="299"/>
      <x:c r="I19" s="3" t="s">
        <x:v>979</x:v>
      </x:c>
      <x:c r="J19" s="3" t="s">
        <x:v>1230</x:v>
      </x:c>
      <x:c r="K19" s="4">
        <x:v>7200000</x:v>
      </x:c>
      <x:c r="L19" s="4">
        <x:f>INT(K19*0.1)</x:f>
        <x:v>720000</x:v>
      </x:c>
      <x:c r="M19" s="5">
        <x:f t="shared" si="2"/>
        <x:v>7920000</x:v>
      </x:c>
      <x:c r="N19" s="6"/>
    </x:row>
    <x:row r="20" spans="1:14" ht="20.100000000000001" customHeight="1">
      <x:c r="A20" s="299"/>
      <x:c r="B20" s="3" t="s">
        <x:v>960</x:v>
      </x:c>
      <x:c r="C20" s="3" t="s">
        <x:v>950</x:v>
      </x:c>
      <x:c r="D20" s="4">
        <x:v>5000000</x:v>
      </x:c>
      <x:c r="E20" s="4">
        <x:f>+D20*0.1</x:f>
        <x:v>500000</x:v>
      </x:c>
      <x:c r="F20" s="5">
        <x:f>+D20+E20</x:f>
        <x:v>5500000</x:v>
      </x:c>
      <x:c r="G20" s="37"/>
      <x:c r="H20" s="299"/>
      <x:c r="I20" s="3" t="s">
        <x:v>1050</x:v>
      </x:c>
      <x:c r="J20" s="3" t="s">
        <x:v>169</x:v>
      </x:c>
      <x:c r="K20" s="4">
        <x:v>4414230</x:v>
      </x:c>
      <x:c r="L20" s="4">
        <x:v>-282910</x:v>
      </x:c>
      <x:c r="M20" s="5">
        <x:f t="shared" si="2"/>
        <x:v>4131320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2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43530000</x:v>
      </x:c>
      <x:c r="E22" s="9">
        <x:f>SUM(E18:E21)</x:f>
        <x:v>500000</x:v>
      </x:c>
      <x:c r="F22" s="10">
        <x:f>SUM(F18:F21)</x:f>
        <x:v>44030000</x:v>
      </x:c>
      <x:c r="G22" s="11"/>
      <x:c r="H22" s="7"/>
      <x:c r="I22" s="8"/>
      <x:c r="J22" s="8"/>
      <x:c r="K22" s="9">
        <x:f>SUM(K18:K21)</x:f>
        <x:v>34544230</x:v>
      </x:c>
      <x:c r="L22" s="9">
        <x:f>SUM(L18:L21)</x:f>
        <x:v>437090</x:v>
      </x:c>
      <x:c r="M22" s="10">
        <x:f>SUM(M18:M21)</x:f>
        <x:v>34981320</x:v>
      </x:c>
      <x:c r="N22" s="11"/>
    </x:row>
    <x:row r="23" spans="1:14" ht="20.100000000000001" customHeight="1">
      <x:c r="A23" s="301" t="s">
        <x:v>187</x:v>
      </x:c>
      <x:c r="B23" s="3"/>
      <x:c r="C23" s="3"/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320000</x:v>
      </x:c>
      <x:c r="L23" s="4">
        <x:f>+K23*0.1</x:f>
        <x:v>32000</x:v>
      </x:c>
      <x:c r="M23" s="5">
        <x:f>+K23+L23</x:f>
        <x:v>352000</x:v>
      </x:c>
      <x:c r="N23" s="6" t="s">
        <x:v>250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200000</x:v>
      </x:c>
      <x:c r="L24" s="4">
        <x:f>K24*0.1</x:f>
        <x:v>20000</x:v>
      </x:c>
      <x:c r="M24" s="5">
        <x:f>+K24+L24</x:f>
        <x:v>220000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 t="s">
        <x:v>1276</x:v>
      </x:c>
      <x:c r="J25" s="3" t="s">
        <x:v>946</x:v>
      </x:c>
      <x:c r="K25" s="4">
        <x:v>500000</x:v>
      </x:c>
      <x:c r="L25" s="4">
        <x:f>+K25*0.1</x:f>
        <x:v>50000</x:v>
      </x:c>
      <x:c r="M25" s="5">
        <x:f>+K25+L25</x:f>
        <x:v>550000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1020000</x:v>
      </x:c>
      <x:c r="L27" s="9">
        <x:f>SUM(L23:L26)</x:f>
        <x:v>102000</x:v>
      </x:c>
      <x:c r="M27" s="10">
        <x:f>SUM(M23:M26)</x:f>
        <x:v>1122000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1845440</x:v>
      </x:c>
      <x:c r="E28" s="44"/>
      <x:c r="F28" s="5">
        <x:f>+D28+E28</x:f>
        <x:v>1845440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1265160</x:v>
      </x:c>
      <x:c r="L28" s="4">
        <x:v>12000</x:v>
      </x:c>
      <x:c r="M28" s="5">
        <x:f t="shared" ref="M28:M37" si="4">+K28+L28</x:f>
        <x:v>1277160</x:v>
      </x:c>
      <x:c r="N28" s="6"/>
    </x:row>
    <x:row r="29" spans="1:14" ht="20.100000000000001" customHeight="1">
      <x:c r="A29" s="299"/>
      <x:c r="B29" s="3" t="s">
        <x:v>1274</x:v>
      </x:c>
      <x:c r="C29" s="3" t="s">
        <x:v>739</x:v>
      </x:c>
      <x:c r="D29" s="4">
        <x:v>649090</x:v>
      </x:c>
      <x:c r="E29" s="4">
        <x:f>+D29*0.1+1</x:f>
        <x:v>64910</x:v>
      </x:c>
      <x:c r="F29" s="5">
        <x:f>+D29+E29</x:f>
        <x:v>714000</x:v>
      </x:c>
      <x:c r="G29" s="6"/>
      <x:c r="H29" s="299"/>
      <x:c r="I29" s="3" t="s">
        <x:v>1205</x:v>
      </x:c>
      <x:c r="J29" s="3" t="s">
        <x:v>28</x:v>
      </x:c>
      <x:c r="K29" s="4">
        <x:v>698181</x:v>
      </x:c>
      <x:c r="L29" s="4">
        <x:f>+INT(K29*0.1)+1</x:f>
        <x:v>69819</x:v>
      </x:c>
      <x:c r="M29" s="5">
        <x:f t="shared" si="4"/>
        <x:v>768000</x:v>
      </x:c>
      <x:c r="N29" s="6"/>
    </x:row>
    <x:row r="30" spans="1:14" ht="20.100000000000001" customHeight="1">
      <x:c r="A30" s="299"/>
      <x:c r="B30" s="3" t="s">
        <x:v>994</x:v>
      </x:c>
      <x:c r="C30" s="3" t="s">
        <x:v>8</x:v>
      </x:c>
      <x:c r="D30" s="4">
        <x:v>424546</x:v>
      </x:c>
      <x:c r="E30" s="4">
        <x:f>+INT(D30*0.1)</x:f>
        <x:v>42454</x:v>
      </x:c>
      <x:c r="F30" s="5">
        <x:f>+D30+E30</x:f>
        <x:v>467000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 t="shared" si="4"/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100000</x:v>
      </x:c>
      <x:c r="E31" s="4">
        <x:f>+INT(D31*0.1)</x:f>
        <x:v>10000</x:v>
      </x:c>
      <x:c r="F31" s="5">
        <x:f t="shared" ref="F31:F37" si="5">+D31+E31</x:f>
        <x:v>110000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 t="shared" si="4"/>
        <x:v>110000</x:v>
      </x:c>
      <x:c r="N31" s="6"/>
    </x:row>
    <x:row r="32" spans="1:14" ht="20.100000000000001" customHeight="1">
      <x:c r="A32" s="299"/>
      <x:c r="B32" s="3" t="s">
        <x:v>247</x:v>
      </x:c>
      <x:c r="C32" s="3" t="s">
        <x:v>231</x:v>
      </x:c>
      <x:c r="D32" s="4">
        <x:v>22000</x:v>
      </x:c>
      <x:c r="E32" s="4">
        <x:f>+INT(D32*0.1)</x:f>
        <x:v>2200</x:v>
      </x:c>
      <x:c r="F32" s="5">
        <x:f t="shared" si="5"/>
        <x:v>24200</x:v>
      </x:c>
      <x:c r="G32" s="6"/>
      <x:c r="H32" s="299"/>
      <x:c r="I32" s="3" t="s">
        <x:v>1120</x:v>
      </x:c>
      <x:c r="J32" s="3" t="s">
        <x:v>167</x:v>
      </x:c>
      <x:c r="K32" s="4">
        <x:v>30000</x:v>
      </x:c>
      <x:c r="L32" s="4">
        <x:f>K32*0.1</x:f>
        <x:v>3000</x:v>
      </x:c>
      <x:c r="M32" s="5">
        <x:f t="shared" si="4"/>
        <x:v>33000</x:v>
      </x:c>
      <x:c r="N32" s="6"/>
    </x:row>
    <x:row r="33" spans="1:14" ht="20.100000000000001" customHeight="1">
      <x:c r="A33" s="299"/>
      <x:c r="B33" s="3" t="s">
        <x:v>121</x:v>
      </x:c>
      <x:c r="C33" s="3" t="s">
        <x:v>882</x:v>
      </x:c>
      <x:c r="D33" s="4">
        <x:v>172000</x:v>
      </x:c>
      <x:c r="E33" s="4">
        <x:f>+INT(D33*0.1)</x:f>
        <x:v>17200</x:v>
      </x:c>
      <x:c r="F33" s="5">
        <x:f t="shared" si="5"/>
        <x:v>189200</x:v>
      </x:c>
      <x:c r="G33" s="146" t="s">
        <x:v>241</x:v>
      </x:c>
      <x:c r="H33" s="299"/>
      <x:c r="I33" s="3" t="s">
        <x:v>247</x:v>
      </x:c>
      <x:c r="J33" s="3" t="s">
        <x:v>231</x:v>
      </x:c>
      <x:c r="K33" s="4">
        <x:v>21000</x:v>
      </x:c>
      <x:c r="L33" s="4">
        <x:f>+K33*0.1</x:f>
        <x:v>2100</x:v>
      </x:c>
      <x:c r="M33" s="5">
        <x:f t="shared" si="4"/>
        <x:v>23100</x:v>
      </x:c>
      <x:c r="N33" s="6"/>
    </x:row>
    <x:row r="34" spans="1:14" ht="20.100000000000001" customHeight="1">
      <x:c r="A34" s="299"/>
      <x:c r="B34" s="3" t="s">
        <x:v>238</x:v>
      </x:c>
      <x:c r="C34" s="3" t="s">
        <x:v>405</x:v>
      </x:c>
      <x:c r="D34" s="4">
        <x:v>420000</x:v>
      </x:c>
      <x:c r="E34" s="4"/>
      <x:c r="F34" s="5">
        <x:f t="shared" si="5"/>
        <x:v>420000</x:v>
      </x:c>
      <x:c r="G34" s="146" t="s">
        <x:v>241</x:v>
      </x:c>
      <x:c r="H34" s="299"/>
      <x:c r="I34" s="3" t="s">
        <x:v>774</x:v>
      </x:c>
      <x:c r="J34" s="3" t="s">
        <x:v>1233</x:v>
      </x:c>
      <x:c r="K34" s="4">
        <x:v>2100000</x:v>
      </x:c>
      <x:c r="L34" s="4">
        <x:f>+K34*0.1</x:f>
        <x:v>210000</x:v>
      </x:c>
      <x:c r="M34" s="5">
        <x:f t="shared" si="4"/>
        <x:v>2310000</x:v>
      </x:c>
      <x:c r="N34" s="6"/>
    </x:row>
    <x:row r="35" spans="1:14" ht="20.100000000000001" customHeight="1">
      <x:c r="A35" s="299"/>
      <x:c r="B35" s="3" t="s">
        <x:v>238</x:v>
      </x:c>
      <x:c r="C35" s="3" t="s">
        <x:v>105</x:v>
      </x:c>
      <x:c r="D35" s="4">
        <x:v>5000000</x:v>
      </x:c>
      <x:c r="E35" s="4"/>
      <x:c r="F35" s="5">
        <x:f t="shared" si="5"/>
        <x:v>5000000</x:v>
      </x:c>
      <x:c r="G35" s="146" t="s">
        <x:v>241</x:v>
      </x:c>
      <x:c r="H35" s="299"/>
      <x:c r="I35" s="3" t="s">
        <x:v>422</x:v>
      </x:c>
      <x:c r="J35" s="3" t="s">
        <x:v>1290</x:v>
      </x:c>
      <x:c r="K35" s="4">
        <x:v>2687400</x:v>
      </x:c>
      <x:c r="L35" s="4">
        <x:f>+K35*0.1</x:f>
        <x:v>268740</x:v>
      </x:c>
      <x:c r="M35" s="5">
        <x:f t="shared" si="4"/>
        <x:v>2956140</x:v>
      </x:c>
      <x:c r="N35" s="6" t="s">
        <x:v>241</x:v>
      </x:c>
    </x:row>
    <x:row r="36" spans="1:14" ht="20.100000000000001" customHeight="1">
      <x:c r="A36" s="299"/>
      <x:c r="B36" s="3"/>
      <x:c r="C36" s="3"/>
      <x:c r="D36" s="4"/>
      <x:c r="E36" s="4"/>
      <x:c r="F36" s="5">
        <x:f t="shared" si="5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5"/>
        <x:v>0</x:v>
      </x:c>
      <x:c r="G37" s="6"/>
      <x:c r="H37" s="300"/>
      <x:c r="I37" s="3"/>
      <x:c r="J37" s="3"/>
      <x:c r="K37" s="4"/>
      <x:c r="L37" s="4"/>
      <x:c r="M37" s="5">
        <x:f t="shared" si="4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8633076</x:v>
      </x:c>
      <x:c r="E38" s="9">
        <x:f>SUM(E28:E37)</x:f>
        <x:v>136764</x:v>
      </x:c>
      <x:c r="F38" s="10">
        <x:f>SUM(F28:F37)</x:f>
        <x:v>8769840</x:v>
      </x:c>
      <x:c r="G38" s="11"/>
      <x:c r="H38" s="7"/>
      <x:c r="I38" s="8"/>
      <x:c r="J38" s="8"/>
      <x:c r="K38" s="9">
        <x:f>SUM(K28:K37)</x:f>
        <x:v>7401741</x:v>
      </x:c>
      <x:c r="L38" s="9">
        <x:f>SUM(L28:L37)</x:f>
        <x:v>625659</x:v>
      </x:c>
      <x:c r="M38" s="10">
        <x:f>SUM(M28:M37)</x:f>
        <x:v>8027400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280998886</x:v>
      </x:c>
      <x:c r="E39" s="14">
        <x:f>+E17+E22+E27+E38</x:f>
        <x:v>23520345</x:v>
      </x:c>
      <x:c r="F39" s="15">
        <x:f>+F17+F22+F27+F38</x:f>
        <x:v>304519231</x:v>
      </x:c>
      <x:c r="G39" s="16"/>
      <x:c r="H39" s="12"/>
      <x:c r="I39" s="13"/>
      <x:c r="J39" s="13"/>
      <x:c r="K39" s="14">
        <x:f>+K17+K22+K27+K38</x:f>
        <x:v>80664848</x:v>
      </x:c>
      <x:c r="L39" s="14">
        <x:f>+L17+L22+L27+L38</x:f>
        <x:v>4934635.7000000002</x:v>
      </x:c>
      <x:c r="M39" s="15">
        <x:f>+M17+M22+M27+M38</x:f>
        <x:v>85599483.700000003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-222858886</x:v>
      </x:c>
      <x:c r="E40" s="25">
        <x:f>+E4-E39</x:f>
        <x:v>-21660345</x:v>
      </x:c>
      <x:c r="F40" s="26">
        <x:f>+F4-F39</x:f>
        <x:v>-244519231</x:v>
      </x:c>
      <x:c r="G40" s="27"/>
      <x:c r="H40" s="23"/>
      <x:c r="I40" s="24"/>
      <x:c r="J40" s="24"/>
      <x:c r="K40" s="25">
        <x:f>+K4-K39</x:f>
        <x:v>-30774848</x:v>
      </x:c>
      <x:c r="L40" s="25">
        <x:f>+L4-L39</x:f>
        <x:v>-4824635.7000000002</x:v>
      </x:c>
      <x:c r="M40" s="26">
        <x:f>+M4-M39</x:f>
        <x:v>-35599483.700000003</x:v>
      </x:c>
      <x:c r="N40" s="27"/>
    </x:row>
    <x:row r="41" spans="1:14" ht="20.100000000000001" customHeight="1">
      <x:c r="A41" s="296" t="s">
        <x:v>871</x:v>
      </x:c>
      <x:c r="B41" s="297"/>
      <x:c r="C41" s="297"/>
      <x:c r="D41" s="297"/>
      <x:c r="E41" s="297"/>
      <x:c r="F41" s="297"/>
      <x:c r="G41" s="297"/>
      <x:c r="H41" s="302" t="s">
        <x:v>1021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53" t="s">
        <x:v>144</x:v>
      </x:c>
      <x:c r="C42" s="153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53" t="s">
        <x:v>144</x:v>
      </x:c>
      <x:c r="J42" s="153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152" t="s">
        <x:v>151</x:v>
      </x:c>
      <x:c r="B43" s="38" t="s">
        <x:v>1679</x:v>
      </x:c>
      <x:c r="C43" s="38" t="s">
        <x:v>1030</x:v>
      </x:c>
      <x:c r="D43" s="39">
        <x:f>76918302+18406000</x:f>
        <x:v>95324302</x:v>
      </x:c>
      <x:c r="E43" s="39">
        <x:f>5687498+1840600</x:f>
        <x:v>7528098</x:v>
      </x:c>
      <x:c r="F43" s="40">
        <x:f t="shared" ref="F43:F59" si="6">+D43+E43</x:f>
        <x:v>102852400</x:v>
      </x:c>
      <x:c r="G43" s="18"/>
      <x:c r="H43" s="152" t="s">
        <x:v>151</x:v>
      </x:c>
      <x:c r="I43" s="38" t="s">
        <x:v>1679</x:v>
      </x:c>
      <x:c r="J43" s="38" t="s">
        <x:v>1030</x:v>
      </x:c>
      <x:c r="K43" s="39">
        <x:v>39579234</x:v>
      </x:c>
      <x:c r="L43" s="39">
        <x:v>420766</x:v>
      </x:c>
      <x:c r="M43" s="40">
        <x:f>+K43+L43</x:f>
        <x:v>40000000</x:v>
      </x:c>
      <x:c r="N43" s="18"/>
    </x:row>
    <x:row r="44" spans="1:14" ht="20.100000000000001" customHeight="1">
      <x:c r="A44" s="298" t="s">
        <x:v>148</x:v>
      </x:c>
      <x:c r="B44" s="19" t="s">
        <x:v>838</x:v>
      </x:c>
      <x:c r="C44" s="19"/>
      <x:c r="D44" s="20"/>
      <x:c r="E44" s="20">
        <x:f>D44*0.1</x:f>
        <x:v>0</x:v>
      </x:c>
      <x:c r="F44" s="21">
        <x:f t="shared" si="6"/>
        <x:v>0</x:v>
      </x:c>
      <x:c r="G44" s="22"/>
      <x:c r="H44" s="298" t="s">
        <x:v>148</x:v>
      </x:c>
      <x:c r="I44" s="19" t="s">
        <x:v>838</x:v>
      </x:c>
      <x:c r="J44" s="19"/>
      <x:c r="K44" s="20"/>
      <x:c r="L44" s="20">
        <x:f>+K44*0.1</x:f>
        <x:v>0</x:v>
      </x:c>
      <x:c r="M44" s="21">
        <x:f>+K44+L44</x:f>
        <x:v>0</x:v>
      </x:c>
      <x:c r="N44" s="22"/>
    </x:row>
    <x:row r="45" spans="1:14" ht="20.100000000000001" customHeight="1">
      <x:c r="A45" s="299"/>
      <x:c r="B45" s="3" t="s">
        <x:v>840</x:v>
      </x:c>
      <x:c r="C45" s="3"/>
      <x:c r="D45" s="4"/>
      <x:c r="E45" s="4">
        <x:f>INT(D45*0.1)</x:f>
        <x:v>0</x:v>
      </x:c>
      <x:c r="F45" s="5">
        <x:f t="shared" si="6"/>
        <x:v>0</x:v>
      </x:c>
      <x:c r="G45" s="6"/>
      <x:c r="H45" s="299"/>
      <x:c r="I45" s="3" t="s">
        <x:v>867</x:v>
      </x:c>
      <x:c r="J45" s="3" t="s">
        <x:v>393</x:v>
      </x:c>
      <x:c r="K45" s="4">
        <x:v>223300</x:v>
      </x:c>
      <x:c r="L45" s="4">
        <x:f>+K45*0.1</x:f>
        <x:v>22330</x:v>
      </x:c>
      <x:c r="M45" s="5">
        <x:f>+K45+L45</x:f>
        <x:v>245630</x:v>
      </x:c>
      <x:c r="N45" s="6"/>
    </x:row>
    <x:row r="46" spans="1:14" ht="20.100000000000001" customHeight="1">
      <x:c r="A46" s="299"/>
      <x:c r="B46" s="3" t="s">
        <x:v>21</x:v>
      </x:c>
      <x:c r="C46" s="3"/>
      <x:c r="D46" s="4"/>
      <x:c r="E46" s="4">
        <x:f>D46*0.1</x:f>
        <x:v>0</x:v>
      </x:c>
      <x:c r="F46" s="5">
        <x:f t="shared" si="6"/>
        <x:v>0</x:v>
      </x:c>
      <x:c r="G46" s="6"/>
      <x:c r="H46" s="299"/>
      <x:c r="I46" s="3" t="s">
        <x:v>840</x:v>
      </x:c>
      <x:c r="J46" s="3"/>
      <x:c r="K46" s="4"/>
      <x:c r="L46" s="4">
        <x:f>+INT(K46*0.1)</x:f>
        <x:v>0</x:v>
      </x:c>
      <x:c r="M46" s="5">
        <x:f>+K46+L46</x:f>
        <x:v>0</x:v>
      </x:c>
      <x:c r="N46" s="6"/>
    </x:row>
    <x:row r="47" spans="1:14" ht="20.100000000000001" customHeight="1">
      <x:c r="A47" s="299"/>
      <x:c r="B47" s="3" t="s">
        <x:v>1058</x:v>
      </x:c>
      <x:c r="C47" s="3" t="s">
        <x:v>417</x:v>
      </x:c>
      <x:c r="D47" s="4">
        <x:v>383320</x:v>
      </x:c>
      <x:c r="E47" s="4">
        <x:f>D47*0.1</x:f>
        <x:v>38332</x:v>
      </x:c>
      <x:c r="F47" s="5">
        <x:f t="shared" si="6"/>
        <x:v>421652</x:v>
      </x:c>
      <x:c r="G47" s="6"/>
      <x:c r="H47" s="299"/>
      <x:c r="I47" s="3" t="s">
        <x:v>1058</x:v>
      </x:c>
      <x:c r="J47" s="3"/>
      <x:c r="K47" s="4"/>
      <x:c r="L47" s="4">
        <x:f>+INT(K47*0.1)</x:f>
        <x:v>0</x:v>
      </x:c>
      <x:c r="M47" s="5">
        <x:f>+K47+L47</x:f>
        <x:v>0</x:v>
      </x:c>
      <x:c r="N47" s="6"/>
    </x:row>
    <x:row r="48" spans="1:14" ht="20.100000000000001" customHeight="1">
      <x:c r="A48" s="299"/>
      <x:c r="B48" s="3" t="s">
        <x:v>854</x:v>
      </x:c>
      <x:c r="C48" s="3" t="s">
        <x:v>400</x:v>
      </x:c>
      <x:c r="D48" s="4">
        <x:v>253850</x:v>
      </x:c>
      <x:c r="E48" s="4">
        <x:f>+INT(D48*0.1)</x:f>
        <x:v>25385</x:v>
      </x:c>
      <x:c r="F48" s="5">
        <x:f t="shared" si="6"/>
        <x:v>279235</x:v>
      </x:c>
      <x:c r="G48" s="6"/>
      <x:c r="H48" s="299"/>
      <x:c r="I48" s="3" t="s">
        <x:v>967</x:v>
      </x:c>
      <x:c r="J48" s="3" t="s">
        <x:v>1206</x:v>
      </x:c>
      <x:c r="K48" s="4">
        <x:v>1429000</x:v>
      </x:c>
      <x:c r="L48" s="4">
        <x:f>+INT(K48*0.1)</x:f>
        <x:v>142900</x:v>
      </x:c>
      <x:c r="M48" s="5">
        <x:f t="shared" ref="M48:M58" si="7">+K48+L48</x:f>
        <x:v>1571900</x:v>
      </x:c>
      <x:c r="N48" s="6"/>
    </x:row>
    <x:row r="49" spans="1:14" ht="20.100000000000001" customHeight="1">
      <x:c r="A49" s="299"/>
      <x:c r="B49" s="3" t="s">
        <x:v>867</x:v>
      </x:c>
      <x:c r="C49" s="3" t="s">
        <x:v>110</x:v>
      </x:c>
      <x:c r="D49" s="4">
        <x:v>422438</x:v>
      </x:c>
      <x:c r="E49" s="4">
        <x:f>+INT(D49*0.1)</x:f>
        <x:v>42243</x:v>
      </x:c>
      <x:c r="F49" s="5">
        <x:f t="shared" si="6"/>
        <x:v>464681</x:v>
      </x:c>
      <x:c r="G49" s="6"/>
      <x:c r="H49" s="299"/>
      <x:c r="I49" s="3" t="s">
        <x:v>846</x:v>
      </x:c>
      <x:c r="J49" s="3" t="s">
        <x:v>1281</x:v>
      </x:c>
      <x:c r="K49" s="4">
        <x:v>371000</x:v>
      </x:c>
      <x:c r="L49" s="4">
        <x:f>+INT(K49*0.1)</x:f>
        <x:v>37100</x:v>
      </x:c>
      <x:c r="M49" s="5">
        <x:f t="shared" si="7"/>
        <x:v>408100</x:v>
      </x:c>
      <x:c r="N49" s="6"/>
    </x:row>
    <x:row r="50" spans="1:14" ht="20.100000000000001" customHeight="1">
      <x:c r="A50" s="299"/>
      <x:c r="B50" s="3" t="s">
        <x:v>1201</x:v>
      </x:c>
      <x:c r="C50" s="3"/>
      <x:c r="D50" s="4"/>
      <x:c r="E50" s="4">
        <x:f>+INT(D50*0.1)</x:f>
        <x:v>0</x:v>
      </x:c>
      <x:c r="F50" s="5">
        <x:f t="shared" si="6"/>
        <x:v>0</x:v>
      </x:c>
      <x:c r="G50" s="6"/>
      <x:c r="H50" s="299"/>
      <x:c r="I50" s="3" t="s">
        <x:v>1209</x:v>
      </x:c>
      <x:c r="J50" s="3" t="s">
        <x:v>1218</x:v>
      </x:c>
      <x:c r="K50" s="4">
        <x:v>700000</x:v>
      </x:c>
      <x:c r="L50" s="4">
        <x:f t="shared" ref="L50:L58" si="8">+INT(K50*0.1)</x:f>
        <x:v>70000</x:v>
      </x:c>
      <x:c r="M50" s="5">
        <x:f t="shared" si="7"/>
        <x:v>770000</x:v>
      </x:c>
      <x:c r="N50" s="6"/>
    </x:row>
    <x:row r="51" spans="1:14" ht="20.100000000000001" customHeight="1">
      <x:c r="A51" s="299"/>
      <x:c r="B51" s="3" t="s">
        <x:v>1173</x:v>
      </x:c>
      <x:c r="C51" s="3" t="s">
        <x:v>804</x:v>
      </x:c>
      <x:c r="D51" s="4">
        <x:v>1807280</x:v>
      </x:c>
      <x:c r="E51" s="4">
        <x:f>+INT(D51*0.1)</x:f>
        <x:v>180728</x:v>
      </x:c>
      <x:c r="F51" s="5">
        <x:f t="shared" si="6"/>
        <x:v>1988008</x:v>
      </x:c>
      <x:c r="G51" s="6"/>
      <x:c r="H51" s="299"/>
      <x:c r="I51" s="3" t="s">
        <x:v>693</x:v>
      </x:c>
      <x:c r="J51" s="3" t="s">
        <x:v>1278</x:v>
      </x:c>
      <x:c r="K51" s="4">
        <x:v>11000000</x:v>
      </x:c>
      <x:c r="L51" s="4">
        <x:f t="shared" si="8"/>
        <x:v>1100000</x:v>
      </x:c>
      <x:c r="M51" s="5">
        <x:f t="shared" si="7"/>
        <x:v>12100000</x:v>
      </x:c>
      <x:c r="N51" s="6"/>
    </x:row>
    <x:row r="52" spans="1:14" ht="20.100000000000001" customHeight="1">
      <x:c r="A52" s="299"/>
      <x:c r="B52" s="3" t="s">
        <x:v>846</x:v>
      </x:c>
      <x:c r="C52" s="3" t="s">
        <x:v>416</x:v>
      </x:c>
      <x:c r="D52" s="4">
        <x:v>329250</x:v>
      </x:c>
      <x:c r="E52" s="4">
        <x:f>+INT(D52*0.1)</x:f>
        <x:v>32925</x:v>
      </x:c>
      <x:c r="F52" s="5">
        <x:f t="shared" si="6"/>
        <x:v>362175</x:v>
      </x:c>
      <x:c r="G52" s="6"/>
      <x:c r="H52" s="299"/>
      <x:c r="I52" s="3" t="s">
        <x:v>854</x:v>
      </x:c>
      <x:c r="J52" s="3" t="s">
        <x:v>795</x:v>
      </x:c>
      <x:c r="K52" s="4">
        <x:v>336450</x:v>
      </x:c>
      <x:c r="L52" s="4">
        <x:f t="shared" si="8"/>
        <x:v>33645</x:v>
      </x:c>
      <x:c r="M52" s="5">
        <x:f t="shared" si="7"/>
        <x:v>370095</x:v>
      </x:c>
      <x:c r="N52" s="6"/>
    </x:row>
    <x:row r="53" spans="1:14" ht="20.100000000000001" customHeight="1">
      <x:c r="A53" s="299"/>
      <x:c r="B53" s="3" t="s">
        <x:v>1182</x:v>
      </x:c>
      <x:c r="C53" s="3"/>
      <x:c r="D53" s="4"/>
      <x:c r="E53" s="4">
        <x:f t="shared" ref="E53:E58" si="9">+INT(D53*0.1)</x:f>
        <x:v>0</x:v>
      </x:c>
      <x:c r="F53" s="5">
        <x:f t="shared" si="6"/>
        <x:v>0</x:v>
      </x:c>
      <x:c r="G53" s="6"/>
      <x:c r="H53" s="299"/>
      <x:c r="I53" s="3" t="s">
        <x:v>1182</x:v>
      </x:c>
      <x:c r="J53" s="129" t="s">
        <x:v>245</x:v>
      </x:c>
      <x:c r="K53" s="130">
        <x:v>4200000</x:v>
      </x:c>
      <x:c r="L53" s="130">
        <x:f t="shared" si="8"/>
        <x:v>420000</x:v>
      </x:c>
      <x:c r="M53" s="131">
        <x:f t="shared" si="7"/>
        <x:v>4620000</x:v>
      </x:c>
      <x:c r="N53" s="6"/>
    </x:row>
    <x:row r="54" spans="1:14" ht="20.100000000000001" customHeight="1">
      <x:c r="A54" s="299"/>
      <x:c r="B54" s="3" t="s">
        <x:v>1209</x:v>
      </x:c>
      <x:c r="C54" s="3"/>
      <x:c r="D54" s="4"/>
      <x:c r="E54" s="4">
        <x:f t="shared" si="9"/>
        <x:v>0</x:v>
      </x:c>
      <x:c r="F54" s="5">
        <x:f t="shared" si="6"/>
        <x:v>0</x:v>
      </x:c>
      <x:c r="G54" s="6"/>
      <x:c r="H54" s="299"/>
      <x:c r="I54" s="3" t="s">
        <x:v>1039</x:v>
      </x:c>
      <x:c r="J54" s="3" t="s">
        <x:v>253</x:v>
      </x:c>
      <x:c r="K54" s="4">
        <x:v>280000</x:v>
      </x:c>
      <x:c r="L54" s="4">
        <x:f t="shared" si="8"/>
        <x:v>28000</x:v>
      </x:c>
      <x:c r="M54" s="5">
        <x:f t="shared" si="7"/>
        <x:v>308000</x:v>
      </x:c>
      <x:c r="N54" s="6"/>
    </x:row>
    <x:row r="55" spans="1:14" ht="20.100000000000001" customHeight="1">
      <x:c r="A55" s="299"/>
      <x:c r="B55" s="3" t="s">
        <x:v>1220</x:v>
      </x:c>
      <x:c r="C55" s="3"/>
      <x:c r="D55" s="4"/>
      <x:c r="E55" s="4">
        <x:f t="shared" si="9"/>
        <x:v>0</x:v>
      </x:c>
      <x:c r="F55" s="5">
        <x:f t="shared" si="6"/>
        <x:v>0</x:v>
      </x:c>
      <x:c r="G55" s="6"/>
      <x:c r="H55" s="299"/>
      <x:c r="I55" s="129" t="s">
        <x:v>766</x:v>
      </x:c>
      <x:c r="J55" s="129" t="s">
        <x:v>1258</x:v>
      </x:c>
      <x:c r="K55" s="130">
        <x:v>14199000</x:v>
      </x:c>
      <x:c r="L55" s="130">
        <x:f t="shared" si="8"/>
        <x:v>1419900</x:v>
      </x:c>
      <x:c r="M55" s="131">
        <x:f t="shared" si="7"/>
        <x:v>15618900</x:v>
      </x:c>
      <x:c r="N55" s="6"/>
    </x:row>
    <x:row r="56" spans="1:14" ht="20.100000000000001" customHeight="1">
      <x:c r="A56" s="299"/>
      <x:c r="B56" s="3" t="s">
        <x:v>774</x:v>
      </x:c>
      <x:c r="C56" s="3"/>
      <x:c r="D56" s="4"/>
      <x:c r="E56" s="4">
        <x:f t="shared" si="9"/>
        <x:v>0</x:v>
      </x:c>
      <x:c r="F56" s="5">
        <x:f t="shared" si="6"/>
        <x:v>0</x:v>
      </x:c>
      <x:c r="G56" s="6"/>
      <x:c r="H56" s="299"/>
      <x:c r="I56" s="129" t="s">
        <x:v>762</x:v>
      </x:c>
      <x:c r="J56" s="129" t="s">
        <x:v>759</x:v>
      </x:c>
      <x:c r="K56" s="130">
        <x:v>22850000</x:v>
      </x:c>
      <x:c r="L56" s="130">
        <x:f t="shared" si="8"/>
        <x:v>2285000</x:v>
      </x:c>
      <x:c r="M56" s="131">
        <x:f t="shared" si="7"/>
        <x:v>25135000</x:v>
      </x:c>
      <x:c r="N56" s="132"/>
    </x:row>
    <x:row r="57" spans="1:14" ht="20.100000000000001" customHeight="1">
      <x:c r="A57" s="299"/>
      <x:c r="B57" s="3" t="s">
        <x:v>1102</x:v>
      </x:c>
      <x:c r="C57" s="3"/>
      <x:c r="D57" s="4"/>
      <x:c r="E57" s="4">
        <x:f t="shared" si="9"/>
        <x:v>0</x:v>
      </x:c>
      <x:c r="F57" s="5">
        <x:f t="shared" si="6"/>
        <x:v>0</x:v>
      </x:c>
      <x:c r="G57" s="6"/>
      <x:c r="H57" s="299"/>
      <x:c r="I57" s="129" t="s">
        <x:v>800</x:v>
      </x:c>
      <x:c r="J57" s="129" t="s">
        <x:v>1215</x:v>
      </x:c>
      <x:c r="K57" s="130">
        <x:v>4300000</x:v>
      </x:c>
      <x:c r="L57" s="130">
        <x:f t="shared" si="8"/>
        <x:v>430000</x:v>
      </x:c>
      <x:c r="M57" s="131">
        <x:f t="shared" si="7"/>
        <x:v>4730000</x:v>
      </x:c>
      <x:c r="N57" s="132"/>
    </x:row>
    <x:row r="58" spans="1:14" ht="20.100000000000001" customHeight="1">
      <x:c r="A58" s="299"/>
      <x:c r="B58" s="143" t="s">
        <x:v>1016</x:v>
      </x:c>
      <x:c r="C58" s="143"/>
      <x:c r="D58" s="144"/>
      <x:c r="E58" s="144">
        <x:f t="shared" si="9"/>
        <x:v>0</x:v>
      </x:c>
      <x:c r="F58" s="145">
        <x:f t="shared" si="6"/>
        <x:v>0</x:v>
      </x:c>
      <x:c r="G58" s="6"/>
      <x:c r="H58" s="299"/>
      <x:c r="I58" s="129" t="s">
        <x:v>1016</x:v>
      </x:c>
      <x:c r="J58" s="129" t="s">
        <x:v>1231</x:v>
      </x:c>
      <x:c r="K58" s="130">
        <x:v>8000000</x:v>
      </x:c>
      <x:c r="L58" s="130">
        <x:f t="shared" si="8"/>
        <x:v>800000</x:v>
      </x:c>
      <x:c r="M58" s="131">
        <x:f t="shared" si="7"/>
        <x:v>8800000</x:v>
      </x:c>
      <x:c r="N58" s="132"/>
    </x:row>
    <x:row r="59" spans="1:14" ht="20.100000000000001" customHeight="1">
      <x:c r="A59" s="300"/>
      <x:c r="B59" s="3"/>
      <x:c r="C59" s="3"/>
      <x:c r="D59" s="4"/>
      <x:c r="E59" s="4">
        <x:f>D59*0.1</x:f>
        <x:v>0</x:v>
      </x:c>
      <x:c r="F59" s="4">
        <x:f t="shared" si="6"/>
        <x:v>0</x:v>
      </x:c>
      <x:c r="G59" s="6"/>
      <x:c r="H59" s="300"/>
      <x:c r="I59" s="129"/>
      <x:c r="J59" s="129"/>
      <x:c r="K59" s="130"/>
      <x:c r="L59" s="130">
        <x:f>+INT(K59*0.1)</x:f>
        <x:v>0</x:v>
      </x:c>
      <x:c r="M59" s="131">
        <x:f>+K59+L59</x:f>
        <x:v>0</x:v>
      </x:c>
      <x:c r="N59" s="132"/>
    </x:row>
    <x:row r="60" spans="1:14" ht="20.100000000000001" customHeight="1">
      <x:c r="A60" s="7" t="s">
        <x:v>155</x:v>
      </x:c>
      <x:c r="B60" s="8"/>
      <x:c r="C60" s="8"/>
      <x:c r="D60" s="9">
        <x:f>SUM(D44:D59)</x:f>
        <x:v>3196138</x:v>
      </x:c>
      <x:c r="E60" s="9">
        <x:f>SUM(E44:E59)</x:f>
        <x:v>319613</x:v>
      </x:c>
      <x:c r="F60" s="10">
        <x:f>SUM(F44:F59)</x:f>
        <x:v>3515751</x:v>
      </x:c>
      <x:c r="G60" s="11"/>
      <x:c r="H60" s="7" t="s">
        <x:v>155</x:v>
      </x:c>
      <x:c r="I60" s="8"/>
      <x:c r="J60" s="8"/>
      <x:c r="K60" s="9">
        <x:f>SUM(K44:K59)</x:f>
        <x:v>67888750</x:v>
      </x:c>
      <x:c r="L60" s="9">
        <x:f>SUM(L44:L59)</x:f>
        <x:v>6788875</x:v>
      </x:c>
      <x:c r="M60" s="10">
        <x:f>SUM(M44:M59)</x:f>
        <x:v>74677625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1096</x:v>
      </x:c>
      <x:c r="D61" s="44">
        <x:v>18310000</x:v>
      </x:c>
      <x:c r="E61" s="44"/>
      <x:c r="F61" s="45">
        <x:f>+D61+E61</x:f>
        <x:v>18310000</x:v>
      </x:c>
      <x:c r="G61" s="37"/>
      <x:c r="H61" s="301" t="s">
        <x:v>153</x:v>
      </x:c>
      <x:c r="I61" s="3" t="s">
        <x:v>1677</x:v>
      </x:c>
      <x:c r="J61" s="3" t="s">
        <x:v>1114</x:v>
      </x:c>
      <x:c r="K61" s="44">
        <x:v>37210000</x:v>
      </x:c>
      <x:c r="L61" s="44"/>
      <x:c r="M61" s="45">
        <x:f>+K61+L61</x:f>
        <x:v>37210000</x:v>
      </x:c>
      <x:c r="N61" s="37"/>
    </x:row>
    <x:row r="62" spans="1:14" ht="20.100000000000001" customHeight="1">
      <x:c r="A62" s="299"/>
      <x:c r="B62" s="3" t="s">
        <x:v>1050</x:v>
      </x:c>
      <x:c r="C62" s="3" t="s">
        <x:v>1277</x:v>
      </x:c>
      <x:c r="D62" s="4">
        <x:f>4316130+3000000+4000000+4500000</x:f>
        <x:v>15816130</x:v>
      </x:c>
      <x:c r="E62" s="4">
        <x:v>-275760</x:v>
      </x:c>
      <x:c r="F62" s="5">
        <x:f>+D62+E62</x:f>
        <x:v>15540370</x:v>
      </x:c>
      <x:c r="G62" s="6"/>
      <x:c r="H62" s="299"/>
      <x:c r="I62" s="3" t="s">
        <x:v>1050</x:v>
      </x:c>
      <x:c r="J62" s="3" t="s">
        <x:v>203</x:v>
      </x:c>
      <x:c r="K62" s="44">
        <x:v>6338570</x:v>
      </x:c>
      <x:c r="L62" s="4">
        <x:v>-423530</x:v>
      </x:c>
      <x:c r="M62" s="45">
        <x:f>+K62+L62</x:f>
        <x:v>5915040</x:v>
      </x:c>
      <x:c r="N62" s="37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34126130</x:v>
      </x:c>
      <x:c r="E65" s="9">
        <x:f>SUM(E61:E64)</x:f>
        <x:v>-275760</x:v>
      </x:c>
      <x:c r="F65" s="10">
        <x:f>SUM(F61:F64)</x:f>
        <x:v>33850370</x:v>
      </x:c>
      <x:c r="G65" s="11"/>
      <x:c r="H65" s="7" t="s">
        <x:v>155</x:v>
      </x:c>
      <x:c r="I65" s="8"/>
      <x:c r="J65" s="8"/>
      <x:c r="K65" s="9">
        <x:f>SUM(K61:K64)</x:f>
        <x:v>43548570</x:v>
      </x:c>
      <x:c r="L65" s="9">
        <x:f>SUM(L61:L64)</x:f>
        <x:v>-423530</x:v>
      </x:c>
      <x:c r="M65" s="10">
        <x:f>SUM(M61:M64)</x:f>
        <x:v>43125040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1126</x:v>
      </x:c>
      <x:c r="D66" s="4"/>
      <x:c r="E66" s="4">
        <x:f>+D66*0.1</x:f>
        <x:v>0</x:v>
      </x:c>
      <x:c r="F66" s="5">
        <x:f>+D66+E66</x:f>
        <x:v>0</x:v>
      </x:c>
      <x:c r="G66" s="6"/>
      <x:c r="H66" s="301" t="s">
        <x:v>187</x:v>
      </x:c>
      <x:c r="I66" s="3" t="s">
        <x:v>1124</x:v>
      </x:c>
      <x:c r="J66" s="3" t="s">
        <x:v>1126</x:v>
      </x:c>
      <x:c r="K66" s="4">
        <x:v>300000</x:v>
      </x:c>
      <x:c r="L66" s="4">
        <x:f>+K66*0.1</x:f>
        <x:v>30000</x:v>
      </x:c>
      <x:c r="M66" s="5">
        <x:f>+K66+L66</x:f>
        <x:v>330000</x:v>
      </x:c>
      <x:c r="N66" s="6"/>
    </x:row>
    <x:row r="67" spans="1:14" ht="20.100000000000001" customHeight="1">
      <x:c r="A67" s="299"/>
      <x:c r="B67" s="3" t="s">
        <x:v>1256</x:v>
      </x:c>
      <x:c r="C67" s="3" t="s">
        <x:v>157</x:v>
      </x:c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 t="s">
        <x:v>1273</x:v>
      </x:c>
      <x:c r="J67" s="3" t="s">
        <x:v>946</x:v>
      </x:c>
      <x:c r="K67" s="4">
        <x:v>1850000</x:v>
      </x:c>
      <x:c r="L67" s="4">
        <x:f>+K67*0.1</x:f>
        <x:v>185000</x:v>
      </x:c>
      <x:c r="M67" s="5">
        <x:f>+K67+L67</x:f>
        <x:v>2035000</x:v>
      </x:c>
      <x:c r="N67" s="6"/>
    </x:row>
    <x:row r="68" spans="1:14" ht="20.100000000000001" customHeight="1">
      <x:c r="A68" s="299"/>
      <x:c r="B68" s="3" t="s">
        <x:v>1170</x:v>
      </x:c>
      <x:c r="C68" s="3" t="s">
        <x:v>227</x:v>
      </x:c>
      <x:c r="D68" s="4"/>
      <x:c r="E68" s="4">
        <x:f>+D68*0.1</x:f>
        <x:v>0</x:v>
      </x:c>
      <x:c r="F68" s="5">
        <x:f>+D68+E68</x:f>
        <x:v>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 t="s">
        <x:v>155</x:v>
      </x:c>
      <x:c r="B70" s="8"/>
      <x:c r="C70" s="8"/>
      <x:c r="D70" s="9">
        <x:f>SUM(D66:D69)</x:f>
        <x:v>0</x:v>
      </x:c>
      <x:c r="E70" s="9">
        <x:f>SUM(E66:E69)</x:f>
        <x:v>0</x:v>
      </x:c>
      <x:c r="F70" s="10">
        <x:f>SUM(F66:F69)</x:f>
        <x:v>0</x:v>
      </x:c>
      <x:c r="G70" s="11"/>
      <x:c r="H70" s="7" t="s">
        <x:v>155</x:v>
      </x:c>
      <x:c r="I70" s="8"/>
      <x:c r="J70" s="8"/>
      <x:c r="K70" s="9">
        <x:f>SUM(K66:K69)</x:f>
        <x:v>2150000</x:v>
      </x:c>
      <x:c r="L70" s="9">
        <x:f>SUM(L66:L69)</x:f>
        <x:v>215000</x:v>
      </x:c>
      <x:c r="M70" s="10">
        <x:f>SUM(M66:M69)</x:f>
        <x:v>2365000</x:v>
      </x:c>
      <x:c r="N70" s="11"/>
    </x:row>
    <x:row r="71" spans="1:14" ht="20.100000000000001" customHeight="1">
      <x:c r="A71" s="301" t="s">
        <x:v>149</x:v>
      </x:c>
      <x:c r="B71" s="3" t="s">
        <x:v>177</x:v>
      </x:c>
      <x:c r="C71" s="3" t="s">
        <x:v>149</x:v>
      </x:c>
      <x:c r="D71" s="4">
        <x:v>1374730</x:v>
      </x:c>
      <x:c r="E71" s="4"/>
      <x:c r="F71" s="5">
        <x:f t="shared" ref="F71:F80" si="10">+D71+E71</x:f>
        <x:v>1374730</x:v>
      </x:c>
      <x:c r="G71" s="6"/>
      <x:c r="H71" s="301" t="s">
        <x:v>149</x:v>
      </x:c>
      <x:c r="I71" s="3" t="s">
        <x:v>203</x:v>
      </x:c>
      <x:c r="J71" s="3" t="s">
        <x:v>837</x:v>
      </x:c>
      <x:c r="K71" s="4">
        <x:v>1249550</x:v>
      </x:c>
      <x:c r="L71" s="4"/>
      <x:c r="M71" s="5">
        <x:f>+K71+L71</x:f>
        <x:v>1249550</x:v>
      </x:c>
      <x:c r="N71" s="6"/>
    </x:row>
    <x:row r="72" spans="1:14" ht="20.100000000000001" customHeight="1">
      <x:c r="A72" s="299"/>
      <x:c r="B72" s="3" t="s">
        <x:v>721</x:v>
      </x:c>
      <x:c r="C72" s="3" t="s">
        <x:v>167</x:v>
      </x:c>
      <x:c r="D72" s="4">
        <x:v>6000</x:v>
      </x:c>
      <x:c r="E72" s="4">
        <x:f>+D72*0.1</x:f>
        <x:v>600</x:v>
      </x:c>
      <x:c r="F72" s="5">
        <x:f t="shared" si="10"/>
        <x:v>6600</x:v>
      </x:c>
      <x:c r="G72" s="6"/>
      <x:c r="H72" s="299"/>
      <x:c r="I72" s="3" t="s">
        <x:v>221</x:v>
      </x:c>
      <x:c r="J72" s="3" t="s">
        <x:v>1053</x:v>
      </x:c>
      <x:c r="K72" s="4">
        <x:v>500000</x:v>
      </x:c>
      <x:c r="L72" s="4">
        <x:f>+K72*0.1</x:f>
        <x:v>50000</x:v>
      </x:c>
      <x:c r="M72" s="5">
        <x:f>+K72+L72</x:f>
        <x:v>550000</x:v>
      </x:c>
      <x:c r="N72" s="6"/>
    </x:row>
    <x:row r="73" spans="1:14" ht="20.100000000000001" customHeight="1">
      <x:c r="A73" s="299"/>
      <x:c r="B73" s="3" t="s">
        <x:v>947</x:v>
      </x:c>
      <x:c r="C73" s="3" t="s">
        <x:v>914</x:v>
      </x:c>
      <x:c r="D73" s="4">
        <x:v>50000</x:v>
      </x:c>
      <x:c r="E73" s="4">
        <x:f>D73*0.1</x:f>
        <x:v>5000</x:v>
      </x:c>
      <x:c r="F73" s="5">
        <x:f t="shared" si="10"/>
        <x:v>55000</x:v>
      </x:c>
      <x:c r="G73" s="6" t="s">
        <x:v>1259</x:v>
      </x:c>
      <x:c r="H73" s="299"/>
      <x:c r="I73" s="3" t="s">
        <x:v>221</x:v>
      </x:c>
      <x:c r="J73" s="3" t="s">
        <x:v>1066</x:v>
      </x:c>
      <x:c r="K73" s="4">
        <x:v>48000</x:v>
      </x:c>
      <x:c r="L73" s="4"/>
      <x:c r="M73" s="5">
        <x:f>+K73+L73</x:f>
        <x:v>48000</x:v>
      </x:c>
      <x:c r="N73" s="6"/>
    </x:row>
    <x:row r="74" spans="1:14" ht="20.100000000000001" customHeight="1">
      <x:c r="A74" s="299"/>
      <x:c r="B74" s="3" t="s">
        <x:v>943</x:v>
      </x:c>
      <x:c r="C74" s="3" t="s">
        <x:v>962</x:v>
      </x:c>
      <x:c r="D74" s="4">
        <x:v>473000</x:v>
      </x:c>
      <x:c r="E74" s="4">
        <x:f>D74*0.1</x:f>
        <x:v>47300</x:v>
      </x:c>
      <x:c r="F74" s="5">
        <x:f t="shared" si="10"/>
        <x:v>520300</x:v>
      </x:c>
      <x:c r="G74" s="6"/>
      <x:c r="H74" s="299"/>
      <x:c r="I74" s="3" t="s">
        <x:v>1061</x:v>
      </x:c>
      <x:c r="J74" s="3" t="s">
        <x:v>167</x:v>
      </x:c>
      <x:c r="K74" s="4">
        <x:v>141000</x:v>
      </x:c>
      <x:c r="L74" s="4">
        <x:f t="shared" ref="L74:L80" si="11">+K74*0.1</x:f>
        <x:v>14100</x:v>
      </x:c>
      <x:c r="M74" s="5">
        <x:f>+K74+L74</x:f>
        <x:v>155100</x:v>
      </x:c>
      <x:c r="N74" s="6"/>
    </x:row>
    <x:row r="75" spans="1:14" ht="20.100000000000001" customHeight="1">
      <x:c r="A75" s="299"/>
      <x:c r="B75" s="3" t="s">
        <x:v>926</x:v>
      </x:c>
      <x:c r="C75" s="3" t="s">
        <x:v>927</x:v>
      </x:c>
      <x:c r="D75" s="4">
        <x:v>367870</x:v>
      </x:c>
      <x:c r="E75" s="4"/>
      <x:c r="F75" s="5">
        <x:f t="shared" si="10"/>
        <x:v>367870</x:v>
      </x:c>
      <x:c r="G75" s="6"/>
      <x:c r="H75" s="299"/>
      <x:c r="I75" s="3" t="s">
        <x:v>1047</x:v>
      </x:c>
      <x:c r="J75" s="3" t="s">
        <x:v>962</x:v>
      </x:c>
      <x:c r="K75" s="4">
        <x:v>1266000</x:v>
      </x:c>
      <x:c r="L75" s="4">
        <x:f t="shared" si="11"/>
        <x:v>126600</x:v>
      </x:c>
      <x:c r="M75" s="5">
        <x:f t="shared" ref="M75:M80" si="12">+K75+L75</x:f>
        <x:v>1392600</x:v>
      </x:c>
      <x:c r="N75" s="6"/>
    </x:row>
    <x:row r="76" spans="1:14" ht="20.100000000000001" customHeight="1">
      <x:c r="A76" s="299"/>
      <x:c r="B76" s="3" t="s">
        <x:v>1181</x:v>
      </x:c>
      <x:c r="C76" s="3" t="s">
        <x:v>817</x:v>
      </x:c>
      <x:c r="D76" s="4"/>
      <x:c r="E76" s="4">
        <x:f>D76*0.1</x:f>
        <x:v>0</x:v>
      </x:c>
      <x:c r="F76" s="5">
        <x:f t="shared" si="10"/>
        <x:v>0</x:v>
      </x:c>
      <x:c r="G76" s="6"/>
      <x:c r="H76" s="299"/>
      <x:c r="I76" s="3" t="s">
        <x:v>947</x:v>
      </x:c>
      <x:c r="J76" s="3" t="s">
        <x:v>914</x:v>
      </x:c>
      <x:c r="K76" s="4">
        <x:v>100000</x:v>
      </x:c>
      <x:c r="L76" s="4">
        <x:f t="shared" si="11"/>
        <x:v>10000</x:v>
      </x:c>
      <x:c r="M76" s="5">
        <x:f t="shared" si="12"/>
        <x:v>110000</x:v>
      </x:c>
      <x:c r="N76" s="6"/>
    </x:row>
    <x:row r="77" spans="1:14" ht="20.100000000000001" customHeight="1">
      <x:c r="A77" s="299"/>
      <x:c r="B77" s="3" t="s">
        <x:v>247</x:v>
      </x:c>
      <x:c r="C77" s="3" t="s">
        <x:v>231</x:v>
      </x:c>
      <x:c r="D77" s="4">
        <x:v>20000</x:v>
      </x:c>
      <x:c r="E77" s="4">
        <x:f>+D77*0.1</x:f>
        <x:v>2000</x:v>
      </x:c>
      <x:c r="F77" s="5">
        <x:f t="shared" si="10"/>
        <x:v>22000</x:v>
      </x:c>
      <x:c r="G77" s="6"/>
      <x:c r="H77" s="299"/>
      <x:c r="I77" s="3" t="s">
        <x:v>247</x:v>
      </x:c>
      <x:c r="J77" s="3" t="s">
        <x:v>231</x:v>
      </x:c>
      <x:c r="K77" s="4">
        <x:v>21000</x:v>
      </x:c>
      <x:c r="L77" s="4">
        <x:f t="shared" si="11"/>
        <x:v>2100</x:v>
      </x:c>
      <x:c r="M77" s="5">
        <x:f t="shared" si="12"/>
        <x:v>23100</x:v>
      </x:c>
      <x:c r="N77" s="6"/>
    </x:row>
    <x:row r="78" spans="1:14" ht="20.100000000000001" customHeight="1">
      <x:c r="A78" s="299"/>
      <x:c r="B78" s="3"/>
      <x:c r="C78" s="3"/>
      <x:c r="D78" s="4"/>
      <x:c r="E78" s="4"/>
      <x:c r="F78" s="5">
        <x:f t="shared" si="10"/>
        <x:v>0</x:v>
      </x:c>
      <x:c r="G78" s="6"/>
      <x:c r="H78" s="299"/>
      <x:c r="I78" s="3" t="s">
        <x:v>1267</x:v>
      </x:c>
      <x:c r="J78" s="3" t="s">
        <x:v>1289</x:v>
      </x:c>
      <x:c r="K78" s="4">
        <x:v>1300000</x:v>
      </x:c>
      <x:c r="L78" s="4">
        <x:f t="shared" si="11"/>
        <x:v>130000</x:v>
      </x:c>
      <x:c r="M78" s="5">
        <x:f t="shared" si="12"/>
        <x:v>1430000</x:v>
      </x:c>
      <x:c r="N78" s="6"/>
    </x:row>
    <x:row r="79" spans="1:14" ht="20.100000000000001" customHeight="1">
      <x:c r="A79" s="299"/>
      <x:c r="B79" s="3"/>
      <x:c r="C79" s="3"/>
      <x:c r="D79" s="4"/>
      <x:c r="E79" s="4"/>
      <x:c r="F79" s="5">
        <x:f t="shared" si="10"/>
        <x:v>0</x:v>
      </x:c>
      <x:c r="G79" s="6"/>
      <x:c r="H79" s="299"/>
      <x:c r="I79" s="3" t="s">
        <x:v>774</x:v>
      </x:c>
      <x:c r="J79" s="3" t="s">
        <x:v>1233</x:v>
      </x:c>
      <x:c r="K79" s="4">
        <x:v>2100000</x:v>
      </x:c>
      <x:c r="L79" s="4">
        <x:f t="shared" si="11"/>
        <x:v>210000</x:v>
      </x:c>
      <x:c r="M79" s="5">
        <x:f>+K79+L79</x:f>
        <x:v>2310000</x:v>
      </x:c>
      <x:c r="N79" s="6"/>
    </x:row>
    <x:row r="80" spans="1:14" ht="20.100000000000001" customHeight="1">
      <x:c r="A80" s="300"/>
      <x:c r="B80" s="3"/>
      <x:c r="C80" s="3"/>
      <x:c r="D80" s="4"/>
      <x:c r="E80" s="4"/>
      <x:c r="F80" s="5">
        <x:f t="shared" si="10"/>
        <x:v>0</x:v>
      </x:c>
      <x:c r="G80" s="6"/>
      <x:c r="H80" s="300"/>
      <x:c r="I80" s="3" t="s">
        <x:v>1284</x:v>
      </x:c>
      <x:c r="J80" s="3" t="s">
        <x:v>817</x:v>
      </x:c>
      <x:c r="K80" s="4">
        <x:v>2050000</x:v>
      </x:c>
      <x:c r="L80" s="4">
        <x:f t="shared" si="11"/>
        <x:v>205000</x:v>
      </x:c>
      <x:c r="M80" s="5">
        <x:f t="shared" si="12"/>
        <x:v>2255000</x:v>
      </x:c>
      <x:c r="N80" s="6"/>
    </x:row>
    <x:row r="81" spans="1:14" ht="20.100000000000001" customHeight="1">
      <x:c r="A81" s="7" t="s">
        <x:v>155</x:v>
      </x:c>
      <x:c r="B81" s="8"/>
      <x:c r="C81" s="8"/>
      <x:c r="D81" s="9">
        <x:f>SUM(D71:D80)</x:f>
        <x:v>2291600</x:v>
      </x:c>
      <x:c r="E81" s="9">
        <x:f>SUM(E71:E80)</x:f>
        <x:v>54900</x:v>
      </x:c>
      <x:c r="F81" s="10">
        <x:f>SUM(F71:F80)</x:f>
        <x:v>2346500</x:v>
      </x:c>
      <x:c r="G81" s="11"/>
      <x:c r="H81" s="7" t="s">
        <x:v>155</x:v>
      </x:c>
      <x:c r="I81" s="8"/>
      <x:c r="J81" s="8"/>
      <x:c r="K81" s="9">
        <x:f>SUM(K71:K80)</x:f>
        <x:v>8775550</x:v>
      </x:c>
      <x:c r="L81" s="9">
        <x:f>SUM(L71:L80)</x:f>
        <x:v>747800</x:v>
      </x:c>
      <x:c r="M81" s="10">
        <x:f>SUM(M71:M80)</x:f>
        <x:v>9523350</x:v>
      </x:c>
      <x:c r="N81" s="11"/>
    </x:row>
    <x:row r="82" spans="1:14" ht="20.100000000000001" customHeight="1">
      <x:c r="A82" s="12" t="s">
        <x:v>1690</x:v>
      </x:c>
      <x:c r="B82" s="13"/>
      <x:c r="C82" s="13"/>
      <x:c r="D82" s="14">
        <x:f>+D60+D65+D70+D81</x:f>
        <x:v>39613868</x:v>
      </x:c>
      <x:c r="E82" s="14">
        <x:f>+E60+E65+E70+E81</x:f>
        <x:v>98753</x:v>
      </x:c>
      <x:c r="F82" s="15">
        <x:f>+F60+F65+F70+F81</x:f>
        <x:v>39712621</x:v>
      </x:c>
      <x:c r="G82" s="16"/>
      <x:c r="H82" s="12"/>
      <x:c r="I82" s="13"/>
      <x:c r="J82" s="13"/>
      <x:c r="K82" s="14">
        <x:f>+K60+K65+K70+K81</x:f>
        <x:v>122362870</x:v>
      </x:c>
      <x:c r="L82" s="14">
        <x:f>+L60+L65+L70+L81</x:f>
        <x:v>7328145</x:v>
      </x:c>
      <x:c r="M82" s="15">
        <x:f>+M60+M65+M70+M81</x:f>
        <x:v>129691015</x:v>
      </x:c>
      <x:c r="N82" s="16"/>
    </x:row>
    <x:row r="83" spans="1:14" ht="20.100000000000001" customHeight="1">
      <x:c r="A83" s="23" t="s">
        <x:v>35</x:v>
      </x:c>
      <x:c r="B83" s="24"/>
      <x:c r="C83" s="24"/>
      <x:c r="D83" s="25">
        <x:f>+D43-D82</x:f>
        <x:v>55710434</x:v>
      </x:c>
      <x:c r="E83" s="25">
        <x:f>+E43-E82</x:f>
        <x:v>7429345</x:v>
      </x:c>
      <x:c r="F83" s="26">
        <x:f>+F43-F82</x:f>
        <x:v>63139779</x:v>
      </x:c>
      <x:c r="G83" s="27"/>
      <x:c r="H83" s="23"/>
      <x:c r="I83" s="24"/>
      <x:c r="J83" s="24"/>
      <x:c r="K83" s="25">
        <x:f>+K43-K82</x:f>
        <x:v>-82783636</x:v>
      </x:c>
      <x:c r="L83" s="25">
        <x:f>+L43-L82</x:f>
        <x:v>-6907379</x:v>
      </x:c>
      <x:c r="M83" s="26">
        <x:f>+M43-M82</x:f>
        <x:v>-89691015</x:v>
      </x:c>
      <x:c r="N83" s="27"/>
    </x:row>
    <x:row r="84" spans="1:14" ht="20.100000000000001" customHeight="1">
      <x:c r="A84" s="302" t="s">
        <x:v>1025</x:v>
      </x:c>
      <x:c r="B84" s="303"/>
      <x:c r="C84" s="303"/>
      <x:c r="D84" s="303"/>
      <x:c r="E84" s="303"/>
      <x:c r="F84" s="304"/>
      <x:c r="G84" s="305"/>
      <x:c r="H84" s="302" t="s">
        <x:v>415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53" t="s">
        <x:v>144</x:v>
      </x:c>
      <x:c r="C85" s="153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53" t="s">
        <x:v>144</x:v>
      </x:c>
      <x:c r="J85" s="153" t="s">
        <x:v>150</x:v>
      </x:c>
      <x:c r="K85" s="31" t="s">
        <x:v>145</x:v>
      </x:c>
      <x:c r="L85" s="31" t="s">
        <x:v>152</x:v>
      </x:c>
      <x:c r="M85" s="31" t="s">
        <x:v>146</x:v>
      </x:c>
      <x:c r="N85" s="34" t="s">
        <x:v>154</x:v>
      </x:c>
    </x:row>
    <x:row r="86" spans="1:14" ht="20.100000000000001" customHeight="1">
      <x:c r="A86" s="41" t="s">
        <x:v>151</x:v>
      </x:c>
      <x:c r="B86" s="149" t="s">
        <x:v>1679</x:v>
      </x:c>
      <x:c r="C86" s="149" t="s">
        <x:v>1030</x:v>
      </x:c>
      <x:c r="D86" s="150">
        <x:v>29739660</x:v>
      </x:c>
      <x:c r="E86" s="150">
        <x:v>260340</x:v>
      </x:c>
      <x:c r="F86" s="40">
        <x:f>+D86+E86</x:f>
        <x:v>30000000</x:v>
      </x:c>
      <x:c r="G86" s="42"/>
      <x:c r="H86" s="41" t="s">
        <x:v>151</x:v>
      </x:c>
      <x:c r="I86" s="38" t="s">
        <x:v>1679</x:v>
      </x:c>
      <x:c r="J86" s="38" t="s">
        <x:v>791</x:v>
      </x:c>
      <x:c r="K86" s="39"/>
      <x:c r="L86" s="39"/>
      <x:c r="M86" s="40">
        <x:f>+K86+L86</x:f>
        <x:v>0</x:v>
      </x:c>
      <x:c r="N86" s="42"/>
    </x:row>
    <x:row r="87" spans="1:14" ht="20.100000000000001" customHeight="1">
      <x:c r="A87" s="298" t="s">
        <x:v>148</x:v>
      </x:c>
      <x:c r="B87" s="147" t="s">
        <x:v>867</x:v>
      </x:c>
      <x:c r="C87" s="147" t="s">
        <x:v>112</x:v>
      </x:c>
      <x:c r="D87" s="148">
        <x:v>310300</x:v>
      </x:c>
      <x:c r="E87" s="148">
        <x:f>D87*0.1</x:f>
        <x:v>31030</x:v>
      </x:c>
      <x:c r="F87" s="21">
        <x:f t="shared" ref="F87:F100" si="13">+D87+E87</x:f>
        <x:v>341330</x:v>
      </x:c>
      <x:c r="G87" s="22"/>
      <x:c r="H87" s="298" t="s">
        <x:v>148</x:v>
      </x:c>
      <x:c r="I87" s="19" t="s">
        <x:v>867</x:v>
      </x:c>
      <x:c r="J87" s="19" t="s">
        <x:v>369</x:v>
      </x:c>
      <x:c r="K87" s="20">
        <x:v>5312034</x:v>
      </x:c>
      <x:c r="L87" s="20">
        <x:f>+K87*0.1</x:f>
        <x:v>531203.40000000002</x:v>
      </x:c>
      <x:c r="M87" s="21">
        <x:f t="shared" ref="M87:M100" si="14">+K87+L87</x:f>
        <x:v>5843237.4000000004</x:v>
      </x:c>
      <x:c r="N87" s="22"/>
    </x:row>
    <x:row r="88" spans="1:14" ht="20.100000000000001" customHeight="1">
      <x:c r="A88" s="299"/>
      <x:c r="B88" s="3" t="s">
        <x:v>840</x:v>
      </x:c>
      <x:c r="C88" s="3"/>
      <x:c r="D88" s="4"/>
      <x:c r="E88" s="4">
        <x:f t="shared" ref="E88:E94" si="15">+D88*0.1</x:f>
        <x:v>0</x:v>
      </x:c>
      <x:c r="F88" s="5">
        <x:f t="shared" si="13"/>
        <x:v>0</x:v>
      </x:c>
      <x:c r="G88" s="6"/>
      <x:c r="H88" s="299"/>
      <x:c r="I88" s="3" t="s">
        <x:v>976</x:v>
      </x:c>
      <x:c r="J88" s="3" t="s">
        <x:v>1260</x:v>
      </x:c>
      <x:c r="K88" s="4">
        <x:v>3625000</x:v>
      </x:c>
      <x:c r="L88" s="4">
        <x:f>K88*0.1</x:f>
        <x:v>362500</x:v>
      </x:c>
      <x:c r="M88" s="5">
        <x:f t="shared" si="14"/>
        <x:v>3987500</x:v>
      </x:c>
      <x:c r="N88" s="6"/>
    </x:row>
    <x:row r="89" spans="1:14" ht="20.100000000000001" customHeight="1">
      <x:c r="A89" s="299"/>
      <x:c r="B89" s="3" t="s">
        <x:v>1058</x:v>
      </x:c>
      <x:c r="C89" s="3" t="s">
        <x:v>387</x:v>
      </x:c>
      <x:c r="D89" s="4">
        <x:v>260200</x:v>
      </x:c>
      <x:c r="E89" s="4">
        <x:f t="shared" si="15"/>
        <x:v>26020</x:v>
      </x:c>
      <x:c r="F89" s="5">
        <x:f t="shared" si="13"/>
        <x:v>286220</x:v>
      </x:c>
      <x:c r="G89" s="6"/>
      <x:c r="H89" s="299"/>
      <x:c r="I89" s="3" t="s">
        <x:v>846</x:v>
      </x:c>
      <x:c r="J89" s="3" t="s">
        <x:v>1253</x:v>
      </x:c>
      <x:c r="K89" s="4">
        <x:v>391080</x:v>
      </x:c>
      <x:c r="L89" s="4">
        <x:f>+K89*0.1</x:f>
        <x:v>39108</x:v>
      </x:c>
      <x:c r="M89" s="5">
        <x:f t="shared" si="14"/>
        <x:v>430188</x:v>
      </x:c>
      <x:c r="N89" s="6"/>
    </x:row>
    <x:row r="90" spans="1:14" ht="20.100000000000001" customHeight="1">
      <x:c r="A90" s="299"/>
      <x:c r="B90" s="3" t="s">
        <x:v>1220</x:v>
      </x:c>
      <x:c r="C90" s="3" t="s">
        <x:v>1197</x:v>
      </x:c>
      <x:c r="D90" s="4">
        <x:v>5580000</x:v>
      </x:c>
      <x:c r="E90" s="4">
        <x:f t="shared" si="15"/>
        <x:v>558000</x:v>
      </x:c>
      <x:c r="F90" s="5">
        <x:f t="shared" si="13"/>
        <x:v>6138000</x:v>
      </x:c>
      <x:c r="G90" s="6"/>
      <x:c r="H90" s="299"/>
      <x:c r="I90" s="3" t="s">
        <x:v>798</x:v>
      </x:c>
      <x:c r="J90" s="3" t="s">
        <x:v>1271</x:v>
      </x:c>
      <x:c r="K90" s="4">
        <x:v>1500000</x:v>
      </x:c>
      <x:c r="L90" s="4">
        <x:f t="shared" ref="L90:L100" si="16">+K90*0.1</x:f>
        <x:v>150000</x:v>
      </x:c>
      <x:c r="M90" s="5">
        <x:f t="shared" si="14"/>
        <x:v>1650000</x:v>
      </x:c>
      <x:c r="N90" s="6"/>
    </x:row>
    <x:row r="91" spans="1:14" ht="20.100000000000001" customHeight="1">
      <x:c r="A91" s="299"/>
      <x:c r="B91" s="3" t="s">
        <x:v>967</x:v>
      </x:c>
      <x:c r="C91" s="3" t="s">
        <x:v>793</x:v>
      </x:c>
      <x:c r="D91" s="4">
        <x:v>1289000</x:v>
      </x:c>
      <x:c r="E91" s="4">
        <x:f t="shared" si="15"/>
        <x:v>128900</x:v>
      </x:c>
      <x:c r="F91" s="5">
        <x:f t="shared" si="13"/>
        <x:v>1417900</x:v>
      </x:c>
      <x:c r="G91" s="6"/>
      <x:c r="H91" s="299"/>
      <x:c r="I91" s="3" t="s">
        <x:v>413</x:v>
      </x:c>
      <x:c r="J91" s="3" t="s">
        <x:v>1093</x:v>
      </x:c>
      <x:c r="K91" s="4">
        <x:v>152600</x:v>
      </x:c>
      <x:c r="L91" s="4">
        <x:f>+K91*0.1</x:f>
        <x:v>15260</x:v>
      </x:c>
      <x:c r="M91" s="5">
        <x:f t="shared" si="14"/>
        <x:v>167860</x:v>
      </x:c>
      <x:c r="N91" s="6" t="s">
        <x:v>796</x:v>
      </x:c>
    </x:row>
    <x:row r="92" spans="1:14" ht="20.100000000000001" customHeight="1">
      <x:c r="A92" s="299"/>
      <x:c r="B92" s="3" t="s">
        <x:v>693</x:v>
      </x:c>
      <x:c r="C92" s="3" t="s">
        <x:v>1278</x:v>
      </x:c>
      <x:c r="D92" s="4">
        <x:v>11000000</x:v>
      </x:c>
      <x:c r="E92" s="4">
        <x:f t="shared" si="15"/>
        <x:v>1100000</x:v>
      </x:c>
      <x:c r="F92" s="5">
        <x:f t="shared" si="13"/>
        <x:v>12100000</x:v>
      </x:c>
      <x:c r="G92" s="6"/>
      <x:c r="H92" s="299"/>
      <x:c r="I92" s="3"/>
      <x:c r="J92" s="3"/>
      <x:c r="K92" s="4"/>
      <x:c r="L92" s="4">
        <x:f>+K92*0.1</x:f>
        <x:v>0</x:v>
      </x:c>
      <x:c r="M92" s="5">
        <x:f t="shared" si="14"/>
        <x:v>0</x:v>
      </x:c>
      <x:c r="N92" s="6"/>
    </x:row>
    <x:row r="93" spans="1:14" ht="20.100000000000001" customHeight="1">
      <x:c r="A93" s="299"/>
      <x:c r="B93" s="3" t="s">
        <x:v>854</x:v>
      </x:c>
      <x:c r="C93" s="3" t="s">
        <x:v>1261</x:v>
      </x:c>
      <x:c r="D93" s="4">
        <x:v>297300</x:v>
      </x:c>
      <x:c r="E93" s="4">
        <x:f t="shared" si="15"/>
        <x:v>29730</x:v>
      </x:c>
      <x:c r="F93" s="5">
        <x:f t="shared" si="13"/>
        <x:v>327030</x:v>
      </x:c>
      <x:c r="G93" s="6"/>
      <x:c r="H93" s="299"/>
      <x:c r="I93" s="3"/>
      <x:c r="J93" s="3"/>
      <x:c r="K93" s="4"/>
      <x:c r="L93" s="4">
        <x:f>+K93*0.1</x:f>
        <x:v>0</x:v>
      </x:c>
      <x:c r="M93" s="5">
        <x:f>+K93+L93</x:f>
        <x:v>0</x:v>
      </x:c>
      <x:c r="N93" s="6"/>
    </x:row>
    <x:row r="94" spans="1:14" ht="20.100000000000001" customHeight="1">
      <x:c r="A94" s="299"/>
      <x:c r="B94" s="3" t="s">
        <x:v>846</x:v>
      </x:c>
      <x:c r="C94" s="3" t="s">
        <x:v>1191</x:v>
      </x:c>
      <x:c r="D94" s="4">
        <x:v>432450</x:v>
      </x:c>
      <x:c r="E94" s="4">
        <x:f t="shared" si="15"/>
        <x:v>43245</x:v>
      </x:c>
      <x:c r="F94" s="5">
        <x:f t="shared" si="13"/>
        <x:v>475695</x:v>
      </x:c>
      <x:c r="G94" s="6"/>
      <x:c r="H94" s="299"/>
      <x:c r="I94" s="3"/>
      <x:c r="J94" s="3"/>
      <x:c r="K94" s="4"/>
      <x:c r="L94" s="4">
        <x:f>+K94*0.1</x:f>
        <x:v>0</x:v>
      </x:c>
      <x:c r="M94" s="5">
        <x:f>+K94+L94</x:f>
        <x:v>0</x:v>
      </x:c>
      <x:c r="N94" s="6"/>
    </x:row>
    <x:row r="95" spans="1:14" ht="20.100000000000001" customHeight="1">
      <x:c r="A95" s="299"/>
      <x:c r="B95" s="3" t="s">
        <x:v>1201</x:v>
      </x:c>
      <x:c r="C95" s="3"/>
      <x:c r="D95" s="4"/>
      <x:c r="E95" s="4">
        <x:f>+INT(D95*0.1)</x:f>
        <x:v>0</x:v>
      </x:c>
      <x:c r="F95" s="5">
        <x:f t="shared" si="13"/>
        <x:v>0</x:v>
      </x:c>
      <x:c r="G95" s="6"/>
      <x:c r="H95" s="299"/>
      <x:c r="I95" s="3"/>
      <x:c r="J95" s="3"/>
      <x:c r="K95" s="4"/>
      <x:c r="L95" s="4">
        <x:f t="shared" si="16"/>
        <x:v>0</x:v>
      </x:c>
      <x:c r="M95" s="5">
        <x:f t="shared" si="14"/>
        <x:v>0</x:v>
      </x:c>
      <x:c r="N95" s="6"/>
    </x:row>
    <x:row r="96" spans="1:14" ht="20.100000000000001" customHeight="1">
      <x:c r="A96" s="299"/>
      <x:c r="B96" s="129" t="s">
        <x:v>766</x:v>
      </x:c>
      <x:c r="C96" s="129" t="s">
        <x:v>1258</x:v>
      </x:c>
      <x:c r="D96" s="4">
        <x:v>12901000</x:v>
      </x:c>
      <x:c r="E96" s="4">
        <x:f>+D96*0.1</x:f>
        <x:v>1290100</x:v>
      </x:c>
      <x:c r="F96" s="5">
        <x:f t="shared" si="13"/>
        <x:v>14191100</x:v>
      </x:c>
      <x:c r="G96" s="6"/>
      <x:c r="H96" s="299"/>
      <x:c r="I96" s="3"/>
      <x:c r="J96" s="3"/>
      <x:c r="K96" s="4"/>
      <x:c r="L96" s="4">
        <x:f t="shared" si="16"/>
        <x:v>0</x:v>
      </x:c>
      <x:c r="M96" s="5">
        <x:f t="shared" si="14"/>
        <x:v>0</x:v>
      </x:c>
      <x:c r="N96" s="6"/>
    </x:row>
    <x:row r="97" spans="1:14" ht="20.100000000000001" customHeight="1">
      <x:c r="A97" s="299"/>
      <x:c r="B97" s="129" t="s">
        <x:v>762</x:v>
      </x:c>
      <x:c r="C97" s="129" t="s">
        <x:v>759</x:v>
      </x:c>
      <x:c r="D97" s="130">
        <x:v>13800000</x:v>
      </x:c>
      <x:c r="E97" s="130">
        <x:f>+INT(D97*0.1)</x:f>
        <x:v>1380000</x:v>
      </x:c>
      <x:c r="F97" s="5">
        <x:f t="shared" si="13"/>
        <x:v>15180000</x:v>
      </x:c>
      <x:c r="G97" s="6"/>
      <x:c r="H97" s="299"/>
      <x:c r="I97" s="3"/>
      <x:c r="J97" s="3"/>
      <x:c r="K97" s="4"/>
      <x:c r="L97" s="4">
        <x:f t="shared" si="16"/>
        <x:v>0</x:v>
      </x:c>
      <x:c r="M97" s="5">
        <x:f t="shared" si="14"/>
        <x:v>0</x:v>
      </x:c>
      <x:c r="N97" s="6"/>
    </x:row>
    <x:row r="98" spans="1:14" ht="20.100000000000001" customHeight="1">
      <x:c r="A98" s="299"/>
      <x:c r="B98" s="3" t="s">
        <x:v>1209</x:v>
      </x:c>
      <x:c r="C98" s="3" t="s">
        <x:v>1218</x:v>
      </x:c>
      <x:c r="D98" s="4">
        <x:v>820000</x:v>
      </x:c>
      <x:c r="E98" s="4">
        <x:f>+D98*0.1</x:f>
        <x:v>82000</x:v>
      </x:c>
      <x:c r="F98" s="131">
        <x:f t="shared" si="13"/>
        <x:v>902000</x:v>
      </x:c>
      <x:c r="G98" s="6"/>
      <x:c r="H98" s="299"/>
      <x:c r="I98" s="3"/>
      <x:c r="J98" s="3"/>
      <x:c r="K98" s="4"/>
      <x:c r="L98" s="4">
        <x:f t="shared" si="16"/>
        <x:v>0</x:v>
      </x:c>
      <x:c r="M98" s="5">
        <x:f t="shared" si="14"/>
        <x:v>0</x:v>
      </x:c>
      <x:c r="N98" s="6"/>
    </x:row>
    <x:row r="99" spans="1:14" ht="20.100000000000001" customHeight="1">
      <x:c r="A99" s="299"/>
      <x:c r="B99" s="3" t="s">
        <x:v>1016</x:v>
      </x:c>
      <x:c r="C99" s="3" t="s">
        <x:v>1231</x:v>
      </x:c>
      <x:c r="D99" s="4">
        <x:v>3500000</x:v>
      </x:c>
      <x:c r="E99" s="4">
        <x:f>+D99*0.1</x:f>
        <x:v>350000</x:v>
      </x:c>
      <x:c r="F99" s="5">
        <x:f t="shared" si="13"/>
        <x:v>3850000</x:v>
      </x:c>
      <x:c r="G99" s="132"/>
      <x:c r="H99" s="299"/>
      <x:c r="I99" s="3"/>
      <x:c r="J99" s="3"/>
      <x:c r="K99" s="4"/>
      <x:c r="L99" s="4">
        <x:f t="shared" si="16"/>
        <x:v>0</x:v>
      </x:c>
      <x:c r="M99" s="5">
        <x:f t="shared" si="14"/>
        <x:v>0</x:v>
      </x:c>
      <x:c r="N99" s="6"/>
    </x:row>
    <x:row r="100" spans="1:14" ht="20.100000000000001" customHeight="1">
      <x:c r="A100" s="299"/>
      <x:c r="B100" s="129" t="s">
        <x:v>800</x:v>
      </x:c>
      <x:c r="C100" s="129" t="s">
        <x:v>1215</x:v>
      </x:c>
      <x:c r="D100" s="4">
        <x:v>3400000</x:v>
      </x:c>
      <x:c r="E100" s="4">
        <x:f>+D100*0.1</x:f>
        <x:v>340000</x:v>
      </x:c>
      <x:c r="F100" s="5">
        <x:f t="shared" si="13"/>
        <x:v>3740000</x:v>
      </x:c>
      <x:c r="G100" s="6"/>
      <x:c r="H100" s="299"/>
      <x:c r="I100" s="3"/>
      <x:c r="J100" s="3"/>
      <x:c r="K100" s="4"/>
      <x:c r="L100" s="4">
        <x:f t="shared" si="16"/>
        <x:v>0</x:v>
      </x:c>
      <x:c r="M100" s="5">
        <x:f t="shared" si="14"/>
        <x:v>0</x:v>
      </x:c>
      <x:c r="N100" s="6"/>
    </x:row>
    <x:row r="101" spans="1:14" ht="20.100000000000001" customHeight="1">
      <x:c r="A101" s="7"/>
      <x:c r="B101" s="8"/>
      <x:c r="C101" s="8"/>
      <x:c r="D101" s="9">
        <x:f>SUM(D87:D100)</x:f>
        <x:v>53590250</x:v>
      </x:c>
      <x:c r="E101" s="9">
        <x:f>SUM(E87:E100)</x:f>
        <x:v>5359025</x:v>
      </x:c>
      <x:c r="F101" s="10">
        <x:f>SUM(F87:F100)</x:f>
        <x:v>58949275</x:v>
      </x:c>
      <x:c r="G101" s="11"/>
      <x:c r="H101" s="7"/>
      <x:c r="I101" s="8"/>
      <x:c r="J101" s="8"/>
      <x:c r="K101" s="9">
        <x:f>SUM(K87:K100)</x:f>
        <x:v>10980714</x:v>
      </x:c>
      <x:c r="L101" s="9">
        <x:f>SUM(L87:L100)</x:f>
        <x:v>1098071.3999999999</x:v>
      </x:c>
      <x:c r="M101" s="10">
        <x:f>SUM(M87:M100)</x:f>
        <x:v>12078785.4</x:v>
      </x:c>
      <x:c r="N101" s="11"/>
    </x:row>
    <x:row r="102" spans="1:14" ht="20.100000000000001" customHeight="1">
      <x:c r="A102" s="301" t="s">
        <x:v>153</x:v>
      </x:c>
      <x:c r="B102" s="3" t="s">
        <x:v>1677</x:v>
      </x:c>
      <x:c r="C102" s="3" t="s">
        <x:v>1129</x:v>
      </x:c>
      <x:c r="D102" s="4">
        <x:v>28175000</x:v>
      </x:c>
      <x:c r="E102" s="4"/>
      <x:c r="F102" s="5">
        <x:f>+D102+E102</x:f>
        <x:v>28175000</x:v>
      </x:c>
      <x:c r="G102" s="6"/>
      <x:c r="H102" s="301" t="s">
        <x:v>153</x:v>
      </x:c>
      <x:c r="I102" s="3"/>
      <x:c r="J102" s="3"/>
      <x:c r="K102" s="4"/>
      <x:c r="L102" s="4"/>
      <x:c r="M102" s="5">
        <x:f>+K102+L102</x:f>
        <x:v>0</x:v>
      </x:c>
      <x:c r="N102" s="6"/>
    </x:row>
    <x:row r="103" spans="1:14" ht="20.100000000000001" customHeight="1">
      <x:c r="A103" s="299"/>
      <x:c r="B103" s="3" t="s">
        <x:v>1050</x:v>
      </x:c>
      <x:c r="C103" s="3" t="s">
        <x:v>158</x:v>
      </x:c>
      <x:c r="D103" s="4">
        <x:v>8666530</x:v>
      </x:c>
      <x:c r="E103" s="4">
        <x:v>-593620</x:v>
      </x:c>
      <x:c r="F103" s="5">
        <x:f>+D103+E103</x:f>
        <x:v>8072910</x:v>
      </x:c>
      <x:c r="G103" s="6"/>
      <x:c r="H103" s="299"/>
      <x:c r="I103" s="3"/>
      <x:c r="J103" s="3"/>
      <x:c r="K103" s="4"/>
      <x:c r="L103" s="4"/>
      <x:c r="M103" s="5">
        <x:f>+K103+L103</x:f>
        <x:v>0</x:v>
      </x:c>
      <x:c r="N103" s="6"/>
    </x:row>
    <x:row r="104" spans="1:14" ht="20.100000000000001" customHeight="1">
      <x:c r="A104" s="299"/>
      <x:c r="B104" s="3"/>
      <x:c r="C104" s="3"/>
      <x:c r="D104" s="4"/>
      <x:c r="E104" s="4">
        <x:f>+D104*0.1</x:f>
        <x:v>0</x:v>
      </x:c>
      <x:c r="F104" s="5">
        <x:f>+D104+E104</x:f>
        <x:v>0</x:v>
      </x:c>
      <x:c r="G104" s="6"/>
      <x:c r="H104" s="299"/>
      <x:c r="I104" s="3"/>
      <x:c r="J104" s="3"/>
      <x:c r="K104" s="4"/>
      <x:c r="L104" s="4">
        <x:f>+K104*0.1</x:f>
        <x:v>0</x:v>
      </x:c>
      <x:c r="M104" s="5">
        <x:f>+K104+L104</x:f>
        <x:v>0</x:v>
      </x:c>
      <x:c r="N104" s="6"/>
    </x:row>
    <x:row r="105" spans="1:14" ht="20.100000000000001" customHeight="1">
      <x:c r="A105" s="300"/>
      <x:c r="B105" s="3"/>
      <x:c r="C105" s="3"/>
      <x:c r="D105" s="4"/>
      <x:c r="E105" s="4">
        <x:f>+D105*0.1</x:f>
        <x:v>0</x:v>
      </x:c>
      <x:c r="F105" s="5">
        <x:f>+D105+E105</x:f>
        <x:v>0</x:v>
      </x:c>
      <x:c r="G105" s="6"/>
      <x:c r="H105" s="300"/>
      <x:c r="I105" s="3"/>
      <x:c r="J105" s="3"/>
      <x:c r="K105" s="4"/>
      <x:c r="L105" s="4">
        <x:f>+K105*0.1</x:f>
        <x:v>0</x:v>
      </x:c>
      <x:c r="M105" s="5">
        <x:f>+K105+L105</x:f>
        <x:v>0</x:v>
      </x:c>
      <x:c r="N105" s="6"/>
    </x:row>
    <x:row r="106" spans="1:14" ht="20.100000000000001" customHeight="1">
      <x:c r="A106" s="7"/>
      <x:c r="B106" s="8"/>
      <x:c r="C106" s="8"/>
      <x:c r="D106" s="9">
        <x:f>SUM(D102:D105)</x:f>
        <x:v>36841530</x:v>
      </x:c>
      <x:c r="E106" s="9">
        <x:f>SUM(E102:E105)</x:f>
        <x:v>-593620</x:v>
      </x:c>
      <x:c r="F106" s="10">
        <x:f>SUM(F102:F105)</x:f>
        <x:v>36247910</x:v>
      </x:c>
      <x:c r="G106" s="11"/>
      <x:c r="H106" s="7"/>
      <x:c r="I106" s="8"/>
      <x:c r="J106" s="8"/>
      <x:c r="K106" s="9">
        <x:f>SUM(K102:K105)</x:f>
        <x:v>0</x:v>
      </x:c>
      <x:c r="L106" s="9">
        <x:f>SUM(L102:L105)</x:f>
        <x:v>0</x:v>
      </x:c>
      <x:c r="M106" s="10">
        <x:f>SUM(M102:M105)</x:f>
        <x:v>0</x:v>
      </x:c>
      <x:c r="N106" s="11"/>
    </x:row>
    <x:row r="107" spans="1:14" ht="20.100000000000001" customHeight="1">
      <x:c r="A107" s="301" t="s">
        <x:v>187</x:v>
      </x:c>
      <x:c r="B107" s="3" t="s">
        <x:v>1239</x:v>
      </x:c>
      <x:c r="C107" s="3" t="s">
        <x:v>946</x:v>
      </x:c>
      <x:c r="D107" s="4">
        <x:v>350000</x:v>
      </x:c>
      <x:c r="E107" s="4">
        <x:f>+D107*0.1</x:f>
        <x:v>35000</x:v>
      </x:c>
      <x:c r="F107" s="5">
        <x:f>+D107+E107</x:f>
        <x:v>385000</x:v>
      </x:c>
      <x:c r="G107" s="6"/>
      <x:c r="H107" s="301" t="s">
        <x:v>187</x:v>
      </x:c>
      <x:c r="I107" s="3" t="s">
        <x:v>428</x:v>
      </x:c>
      <x:c r="J107" s="3" t="s">
        <x:v>157</x:v>
      </x:c>
      <x:c r="K107" s="4">
        <x:v>450000</x:v>
      </x:c>
      <x:c r="L107" s="4">
        <x:f>+K107*0.1</x:f>
        <x:v>45000</x:v>
      </x:c>
      <x:c r="M107" s="5">
        <x:f>+K107+L107</x:f>
        <x:v>495000</x:v>
      </x:c>
      <x:c r="N107" s="6"/>
    </x:row>
    <x:row r="108" spans="1:14" ht="20.100000000000001" customHeight="1">
      <x:c r="A108" s="299"/>
      <x:c r="B108" s="3" t="s">
        <x:v>1168</x:v>
      </x:c>
      <x:c r="C108" s="3" t="s">
        <x:v>948</x:v>
      </x:c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</x:row>
    <x:row r="109" spans="1:14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7"/>
      <x:c r="B111" s="8"/>
      <x:c r="C111" s="8"/>
      <x:c r="D111" s="9">
        <x:f>SUM(D107:D110)</x:f>
        <x:v>350000</x:v>
      </x:c>
      <x:c r="E111" s="9">
        <x:f>SUM(E107:E110)</x:f>
        <x:v>35000</x:v>
      </x:c>
      <x:c r="F111" s="10">
        <x:f>SUM(F107:F110)</x:f>
        <x:v>385000</x:v>
      </x:c>
      <x:c r="G111" s="11"/>
      <x:c r="H111" s="7"/>
      <x:c r="I111" s="8"/>
      <x:c r="J111" s="8"/>
      <x:c r="K111" s="9">
        <x:f>SUM(K107:K110)</x:f>
        <x:v>450000</x:v>
      </x:c>
      <x:c r="L111" s="9">
        <x:f>SUM(L107:L110)</x:f>
        <x:v>45000</x:v>
      </x:c>
      <x:c r="M111" s="10">
        <x:f>SUM(M107:M110)</x:f>
        <x:v>495000</x:v>
      </x:c>
      <x:c r="N111" s="11"/>
    </x:row>
    <x:row r="112" spans="1:14" ht="20.100000000000001" customHeight="1">
      <x:c r="A112" s="301" t="s">
        <x:v>149</x:v>
      </x:c>
      <x:c r="B112" s="3" t="s">
        <x:v>158</x:v>
      </x:c>
      <x:c r="C112" s="3" t="s">
        <x:v>837</x:v>
      </x:c>
      <x:c r="D112" s="4">
        <x:v>530104</x:v>
      </x:c>
      <x:c r="E112" s="4"/>
      <x:c r="F112" s="5">
        <x:f t="shared" ref="F112:F118" si="17">+D112+E112</x:f>
        <x:v>530104</x:v>
      </x:c>
      <x:c r="G112" s="6"/>
      <x:c r="H112" s="301" t="s">
        <x:v>149</x:v>
      </x:c>
      <x:c r="I112" s="3" t="s">
        <x:v>177</x:v>
      </x:c>
      <x:c r="J112" s="3" t="s">
        <x:v>149</x:v>
      </x:c>
      <x:c r="K112" s="4"/>
      <x:c r="L112" s="4"/>
      <x:c r="M112" s="5">
        <x:f>+K112+L112</x:f>
        <x:v>0</x:v>
      </x:c>
      <x:c r="N112" s="6"/>
    </x:row>
    <x:row r="113" spans="1:14" ht="20.100000000000001" customHeight="1">
      <x:c r="A113" s="299"/>
      <x:c r="B113" s="3" t="s">
        <x:v>883</x:v>
      </x:c>
      <x:c r="C113" s="3"/>
      <x:c r="D113" s="4"/>
      <x:c r="E113" s="4">
        <x:f t="shared" ref="E113:E118" si="18">+D113*0.1</x:f>
        <x:v>0</x:v>
      </x:c>
      <x:c r="F113" s="5">
        <x:f t="shared" si="17"/>
        <x:v>0</x:v>
      </x:c>
      <x:c r="G113" s="6" t="s">
        <x:v>1259</x:v>
      </x:c>
      <x:c r="H113" s="299"/>
      <x:c r="I113" s="3" t="s">
        <x:v>802</x:v>
      </x:c>
      <x:c r="J113" s="3" t="s">
        <x:v>420</x:v>
      </x:c>
      <x:c r="K113" s="4">
        <x:v>4220</x:v>
      </x:c>
      <x:c r="L113" s="4"/>
      <x:c r="M113" s="5">
        <x:f>+K113+L113</x:f>
        <x:v>4220</x:v>
      </x:c>
      <x:c r="N113" s="6" t="s">
        <x:v>241</x:v>
      </x:c>
    </x:row>
    <x:row r="114" spans="1:14" ht="20.100000000000001" customHeight="1">
      <x:c r="A114" s="299"/>
      <x:c r="B114" s="3" t="s">
        <x:v>947</x:v>
      </x:c>
      <x:c r="C114" s="3" t="s">
        <x:v>914</x:v>
      </x:c>
      <x:c r="D114" s="4">
        <x:v>80000</x:v>
      </x:c>
      <x:c r="E114" s="4">
        <x:f t="shared" si="18"/>
        <x:v>8000</x:v>
      </x:c>
      <x:c r="F114" s="5">
        <x:f t="shared" si="17"/>
        <x:v>88000</x:v>
      </x:c>
      <x:c r="G114" s="6"/>
      <x:c r="H114" s="299"/>
      <x:c r="I114" s="3" t="s">
        <x:v>809</x:v>
      </x:c>
      <x:c r="J114" s="3" t="s">
        <x:v>805</x:v>
      </x:c>
      <x:c r="K114" s="4">
        <x:v>777900</x:v>
      </x:c>
      <x:c r="L114" s="4"/>
      <x:c r="M114" s="5">
        <x:f>+K114+L114</x:f>
        <x:v>777900</x:v>
      </x:c>
      <x:c r="N114" s="6" t="s">
        <x:v>241</x:v>
      </x:c>
    </x:row>
    <x:row r="115" spans="1:14" ht="20.100000000000001" customHeight="1">
      <x:c r="A115" s="299"/>
      <x:c r="B115" s="3" t="s">
        <x:v>633</x:v>
      </x:c>
      <x:c r="C115" s="3" t="s">
        <x:v>962</x:v>
      </x:c>
      <x:c r="D115" s="4">
        <x:v>840000</x:v>
      </x:c>
      <x:c r="E115" s="4">
        <x:f t="shared" si="18"/>
        <x:v>84000</x:v>
      </x:c>
      <x:c r="F115" s="5">
        <x:f t="shared" si="17"/>
        <x:v>924000</x:v>
      </x:c>
      <x:c r="G115" s="6"/>
      <x:c r="H115" s="299"/>
      <x:c r="I115" s="3" t="s">
        <x:v>1262</x:v>
      </x:c>
      <x:c r="J115" s="3" t="s">
        <x:v>411</x:v>
      </x:c>
      <x:c r="K115" s="4">
        <x:v>566460</x:v>
      </x:c>
      <x:c r="L115" s="4"/>
      <x:c r="M115" s="5">
        <x:f>+K115+L115</x:f>
        <x:v>566460</x:v>
      </x:c>
      <x:c r="N115" s="6" t="s">
        <x:v>241</x:v>
      </x:c>
    </x:row>
    <x:row r="116" spans="1:14" ht="20.100000000000001" customHeight="1">
      <x:c r="A116" s="299"/>
      <x:c r="B116" s="3" t="s">
        <x:v>1049</x:v>
      </x:c>
      <x:c r="C116" s="3" t="s">
        <x:v>167</x:v>
      </x:c>
      <x:c r="D116" s="4">
        <x:v>55000</x:v>
      </x:c>
      <x:c r="E116" s="4">
        <x:f t="shared" si="18"/>
        <x:v>5500</x:v>
      </x:c>
      <x:c r="F116" s="5">
        <x:f t="shared" si="17"/>
        <x:v>60500</x:v>
      </x:c>
      <x:c r="G116" s="6"/>
      <x:c r="H116" s="299"/>
      <x:c r="I116" s="3" t="s">
        <x:v>807</x:v>
      </x:c>
      <x:c r="J116" s="3" t="s">
        <x:v>803</x:v>
      </x:c>
      <x:c r="K116" s="4">
        <x:v>30000</x:v>
      </x:c>
      <x:c r="L116" s="4">
        <x:f>+K116*0.1</x:f>
        <x:v>3000</x:v>
      </x:c>
      <x:c r="M116" s="5">
        <x:f>+K116+L116</x:f>
        <x:v>33000</x:v>
      </x:c>
      <x:c r="N116" s="6" t="s">
        <x:v>241</x:v>
      </x:c>
    </x:row>
    <x:row r="117" spans="1:14" ht="20.100000000000001" customHeight="1">
      <x:c r="A117" s="299"/>
      <x:c r="B117" s="3" t="s">
        <x:v>247</x:v>
      </x:c>
      <x:c r="C117" s="3" t="s">
        <x:v>231</x:v>
      </x:c>
      <x:c r="D117" s="4">
        <x:v>21000</x:v>
      </x:c>
      <x:c r="E117" s="4">
        <x:f t="shared" si="18"/>
        <x:v>2100</x:v>
      </x:c>
      <x:c r="F117" s="5">
        <x:f t="shared" si="17"/>
        <x:v>23100</x:v>
      </x:c>
      <x:c r="G117" s="6"/>
      <x:c r="H117" s="299"/>
      <x:c r="I117" s="3"/>
      <x:c r="J117" s="3"/>
      <x:c r="K117" s="4" t="s">
        <x:v>222</x:v>
      </x:c>
      <x:c r="L117" s="4"/>
      <x:c r="M117" s="5"/>
      <x:c r="N117" s="6"/>
    </x:row>
    <x:row r="118" spans="1:14" ht="20.100000000000001" customHeight="1">
      <x:c r="A118" s="299"/>
      <x:c r="B118" s="3" t="s">
        <x:v>771</x:v>
      </x:c>
      <x:c r="C118" s="3" t="s">
        <x:v>797</x:v>
      </x:c>
      <x:c r="D118" s="4">
        <x:v>678000</x:v>
      </x:c>
      <x:c r="E118" s="4">
        <x:f t="shared" si="18"/>
        <x:v>67800</x:v>
      </x:c>
      <x:c r="F118" s="5">
        <x:f t="shared" si="17"/>
        <x:v>745800</x:v>
      </x:c>
      <x:c r="G118" s="6" t="s">
        <x:v>799</x:v>
      </x:c>
      <x:c r="H118" s="299"/>
      <x:c r="I118" s="3"/>
      <x:c r="J118" s="3"/>
      <x:c r="K118" s="4"/>
      <x:c r="L118" s="4"/>
      <x:c r="M118" s="5"/>
      <x:c r="N118" s="6"/>
    </x:row>
    <x:row r="119" spans="1:14" ht="20.100000000000001" customHeight="1">
      <x:c r="A119" s="299"/>
      <x:c r="B119" s="3" t="s">
        <x:v>774</x:v>
      </x:c>
      <x:c r="C119" s="3" t="s">
        <x:v>1233</x:v>
      </x:c>
      <x:c r="D119" s="4">
        <x:v>1900000</x:v>
      </x:c>
      <x:c r="E119" s="4">
        <x:f>+D119*0.1</x:f>
        <x:v>190000</x:v>
      </x:c>
      <x:c r="F119" s="5">
        <x:f>+D119+E119</x:f>
        <x:v>2090000</x:v>
      </x:c>
      <x:c r="G119" s="6"/>
      <x:c r="H119" s="299"/>
      <x:c r="I119" s="3"/>
      <x:c r="J119" s="3"/>
      <x:c r="K119" s="4"/>
      <x:c r="L119" s="4"/>
      <x:c r="M119" s="5"/>
      <x:c r="N119" s="6"/>
    </x:row>
    <x:row r="120" spans="1:14" ht="20.100000000000001" customHeight="1">
      <x:c r="A120" s="299"/>
      <x:c r="B120" s="3"/>
      <x:c r="C120" s="3"/>
      <x:c r="D120" s="4"/>
      <x:c r="E120" s="4">
        <x:f>+D120*0.1</x:f>
        <x:v>0</x:v>
      </x:c>
      <x:c r="F120" s="5">
        <x:f>+D120+E120</x:f>
        <x:v>0</x:v>
      </x:c>
      <x:c r="G120" s="6"/>
      <x:c r="H120" s="299"/>
      <x:c r="I120" s="3"/>
      <x:c r="J120" s="3"/>
      <x:c r="K120" s="4"/>
      <x:c r="L120" s="4"/>
      <x:c r="M120" s="5"/>
      <x:c r="N120" s="6"/>
    </x:row>
    <x:row r="121" spans="1:14" ht="20.100000000000001" customHeight="1">
      <x:c r="A121" s="300"/>
      <x:c r="B121" s="3"/>
      <x:c r="C121" s="3"/>
      <x:c r="D121" s="4"/>
      <x:c r="E121" s="4"/>
      <x:c r="F121" s="5"/>
      <x:c r="G121" s="6"/>
      <x:c r="H121" s="300"/>
      <x:c r="I121" s="3"/>
      <x:c r="J121" s="3"/>
      <x:c r="K121" s="4"/>
      <x:c r="L121" s="4"/>
      <x:c r="M121" s="5"/>
      <x:c r="N121" s="6"/>
    </x:row>
    <x:row r="122" spans="1:14" ht="20.100000000000001" customHeight="1">
      <x:c r="A122" s="7"/>
      <x:c r="B122" s="8"/>
      <x:c r="C122" s="8"/>
      <x:c r="D122" s="9">
        <x:f>SUM(D112:D121)</x:f>
        <x:v>4104104</x:v>
      </x:c>
      <x:c r="E122" s="9">
        <x:f>SUM(E112:E121)</x:f>
        <x:v>357400</x:v>
      </x:c>
      <x:c r="F122" s="10">
        <x:f>SUM(F112:F121)</x:f>
        <x:v>4461504</x:v>
      </x:c>
      <x:c r="G122" s="11"/>
      <x:c r="H122" s="7"/>
      <x:c r="I122" s="8"/>
      <x:c r="J122" s="8"/>
      <x:c r="K122" s="9">
        <x:f>SUM(K112:K121)</x:f>
        <x:v>1378580</x:v>
      </x:c>
      <x:c r="L122" s="9">
        <x:f>SUM(L112:L121)</x:f>
        <x:v>3000</x:v>
      </x:c>
      <x:c r="M122" s="10">
        <x:f>SUM(M112:M121)</x:f>
        <x:v>1381580</x:v>
      </x:c>
      <x:c r="N122" s="11"/>
    </x:row>
    <x:row r="123" spans="1:14" ht="20.100000000000001" customHeight="1">
      <x:c r="A123" s="12" t="s">
        <x:v>1690</x:v>
      </x:c>
      <x:c r="B123" s="13"/>
      <x:c r="C123" s="13"/>
      <x:c r="D123" s="14">
        <x:f>+D101+D106+D111+D122</x:f>
        <x:v>94885884</x:v>
      </x:c>
      <x:c r="E123" s="14">
        <x:f>+E101+E106+E111+E122</x:f>
        <x:v>5157805</x:v>
      </x:c>
      <x:c r="F123" s="15">
        <x:f>+F101+F106+F111+F122</x:f>
        <x:v>100043689</x:v>
      </x:c>
      <x:c r="G123" s="16"/>
      <x:c r="H123" s="12"/>
      <x:c r="I123" s="13"/>
      <x:c r="J123" s="13"/>
      <x:c r="K123" s="14">
        <x:f>+K101+K106+K111+K122</x:f>
        <x:v>12809294</x:v>
      </x:c>
      <x:c r="L123" s="14">
        <x:f>+L101+L106+L111+L122</x:f>
        <x:v>1146071.3999999999</x:v>
      </x:c>
      <x:c r="M123" s="15">
        <x:f>+M101+M106+M111+M122</x:f>
        <x:v>13955365.4</x:v>
      </x:c>
      <x:c r="N123" s="16"/>
    </x:row>
    <x:row r="124" spans="1:14" ht="20.100000000000001" customHeight="1">
      <x:c r="A124" s="23" t="s">
        <x:v>35</x:v>
      </x:c>
      <x:c r="B124" s="24"/>
      <x:c r="C124" s="24"/>
      <x:c r="D124" s="25">
        <x:f>+D86-D123</x:f>
        <x:v>-65146224</x:v>
      </x:c>
      <x:c r="E124" s="25">
        <x:f>+E86-E123</x:f>
        <x:v>-4897465</x:v>
      </x:c>
      <x:c r="F124" s="26">
        <x:f>+F86-F123</x:f>
        <x:v>-70043689</x:v>
      </x:c>
      <x:c r="G124" s="27"/>
      <x:c r="H124" s="23"/>
      <x:c r="I124" s="24"/>
      <x:c r="J124" s="24"/>
      <x:c r="K124" s="25">
        <x:f>+K86-K123</x:f>
        <x:v>-12809294</x:v>
      </x:c>
      <x:c r="L124" s="25">
        <x:f>+L86-L123</x:f>
        <x:v>-1146071.3999999999</x:v>
      </x:c>
      <x:c r="M124" s="26">
        <x:f>+M86-M123</x:f>
        <x:v>-13955365.4</x:v>
      </x:c>
      <x:c r="N124" s="27"/>
    </x:row>
    <x:row r="125" spans="1:14" ht="20.100000000000001" customHeight="1">
      <x:c r="A125" s="302" t="s">
        <x:v>789</x:v>
      </x:c>
      <x:c r="B125" s="303"/>
      <x:c r="C125" s="303"/>
      <x:c r="D125" s="303"/>
      <x:c r="E125" s="303"/>
      <x:c r="F125" s="304"/>
      <x:c r="G125" s="305"/>
      <x:c r="H125" s="302"/>
      <x:c r="I125" s="303"/>
      <x:c r="J125" s="303"/>
      <x:c r="K125" s="303"/>
      <x:c r="L125" s="303"/>
      <x:c r="M125" s="304"/>
      <x:c r="N125" s="305"/>
    </x:row>
    <x:row r="126" spans="1:14" ht="20.100000000000001" customHeight="1">
      <x:c r="A126" s="29" t="s">
        <x:v>147</x:v>
      </x:c>
      <x:c r="B126" s="153" t="s">
        <x:v>144</x:v>
      </x:c>
      <x:c r="C126" s="153" t="s">
        <x:v>150</x:v>
      </x:c>
      <x:c r="D126" s="31" t="s">
        <x:v>145</x:v>
      </x:c>
      <x:c r="E126" s="31" t="s">
        <x:v>152</x:v>
      </x:c>
      <x:c r="F126" s="32" t="s">
        <x:v>146</x:v>
      </x:c>
      <x:c r="G126" s="33" t="s">
        <x:v>154</x:v>
      </x:c>
      <x:c r="H126" s="29" t="s">
        <x:v>147</x:v>
      </x:c>
      <x:c r="I126" s="153" t="s">
        <x:v>144</x:v>
      </x:c>
      <x:c r="J126" s="153" t="s">
        <x:v>150</x:v>
      </x:c>
      <x:c r="K126" s="31" t="s">
        <x:v>145</x:v>
      </x:c>
      <x:c r="L126" s="31" t="s">
        <x:v>152</x:v>
      </x:c>
      <x:c r="M126" s="31" t="s">
        <x:v>146</x:v>
      </x:c>
      <x:c r="N126" s="34" t="s">
        <x:v>154</x:v>
      </x:c>
    </x:row>
    <x:row r="127" spans="1:14" ht="20.100000000000001" customHeight="1">
      <x:c r="A127" s="152" t="s">
        <x:v>151</x:v>
      </x:c>
      <x:c r="B127" s="38" t="s">
        <x:v>1679</x:v>
      </x:c>
      <x:c r="C127" s="38" t="s">
        <x:v>156</x:v>
      </x:c>
      <x:c r="D127" s="39"/>
      <x:c r="E127" s="39"/>
      <x:c r="F127" s="40">
        <x:f t="shared" ref="F127:F141" si="19">+D127+E127</x:f>
        <x:v>0</x:v>
      </x:c>
      <x:c r="G127" s="18"/>
      <x:c r="H127" s="41" t="s">
        <x:v>151</x:v>
      </x:c>
      <x:c r="I127" s="38"/>
      <x:c r="J127" s="38"/>
      <x:c r="K127" s="39"/>
      <x:c r="L127" s="39"/>
      <x:c r="M127" s="40">
        <x:f>+K127+L127</x:f>
        <x:v>0</x:v>
      </x:c>
      <x:c r="N127" s="42"/>
    </x:row>
    <x:row r="128" spans="1:14" ht="20.100000000000001" customHeight="1">
      <x:c r="A128" s="298" t="s">
        <x:v>148</x:v>
      </x:c>
      <x:c r="B128" s="54" t="s">
        <x:v>1692</x:v>
      </x:c>
      <x:c r="C128" s="54" t="s">
        <x:v>236</x:v>
      </x:c>
      <x:c r="D128" s="93">
        <x:v>70000</x:v>
      </x:c>
      <x:c r="E128" s="93">
        <x:f>+D128*0.1</x:f>
        <x:v>7000</x:v>
      </x:c>
      <x:c r="F128" s="94">
        <x:f t="shared" si="19"/>
        <x:v>77000</x:v>
      </x:c>
      <x:c r="G128" s="95"/>
      <x:c r="H128" s="298" t="s">
        <x:v>148</x:v>
      </x:c>
      <x:c r="I128" s="19"/>
      <x:c r="J128" s="19"/>
      <x:c r="K128" s="20"/>
      <x:c r="L128" s="20">
        <x:f>+K128*0.1</x:f>
        <x:v>0</x:v>
      </x:c>
      <x:c r="M128" s="21">
        <x:f t="shared" ref="M128:M142" si="20">+K128+L128</x:f>
        <x:v>0</x:v>
      </x:c>
      <x:c r="N128" s="22"/>
    </x:row>
    <x:row r="129" spans="1:14" ht="20.100000000000001" customHeight="1">
      <x:c r="A129" s="299"/>
      <x:c r="B129" s="155" t="s">
        <x:v>762</x:v>
      </x:c>
      <x:c r="C129" s="155" t="s">
        <x:v>235</x:v>
      </x:c>
      <x:c r="D129" s="156">
        <x:v>105000000</x:v>
      </x:c>
      <x:c r="E129" s="156">
        <x:f>+D129*0.1</x:f>
        <x:v>10500000</x:v>
      </x:c>
      <x:c r="F129" s="157">
        <x:f>+D129+E129</x:f>
        <x:v>115500000</x:v>
      </x:c>
      <x:c r="G129" s="158" t="s">
        <x:v>246</x:v>
      </x:c>
      <x:c r="H129" s="299"/>
      <x:c r="I129" s="3"/>
      <x:c r="J129" s="3"/>
      <x:c r="K129" s="4"/>
      <x:c r="L129" s="4">
        <x:f>K129*0.1</x:f>
        <x:v>0</x:v>
      </x:c>
      <x:c r="M129" s="5">
        <x:f t="shared" si="20"/>
        <x:v>0</x:v>
      </x:c>
      <x:c r="N129" s="6"/>
    </x:row>
    <x:row r="130" spans="1:14" ht="20.100000000000001" customHeight="1">
      <x:c r="A130" s="299"/>
      <x:c r="B130" s="3"/>
      <x:c r="C130" s="3"/>
      <x:c r="D130" s="4"/>
      <x:c r="E130" s="4">
        <x:f>+D130*0.1</x:f>
        <x:v>0</x:v>
      </x:c>
      <x:c r="F130" s="5">
        <x:f>+D130+E130</x:f>
        <x:v>0</x:v>
      </x:c>
      <x:c r="G130" s="6"/>
      <x:c r="H130" s="299"/>
      <x:c r="I130" s="3"/>
      <x:c r="J130" s="3"/>
      <x:c r="K130" s="4"/>
      <x:c r="L130" s="4">
        <x:f>+K130*0.1</x:f>
        <x:v>0</x:v>
      </x:c>
      <x:c r="M130" s="5">
        <x:f t="shared" si="20"/>
        <x:v>0</x:v>
      </x:c>
      <x:c r="N130" s="6"/>
    </x:row>
    <x:row r="131" spans="1:14" ht="20.100000000000001" customHeight="1">
      <x:c r="A131" s="299"/>
      <x:c r="B131" s="3"/>
      <x:c r="C131" s="3"/>
      <x:c r="D131" s="4"/>
      <x:c r="E131" s="4">
        <x:f>+D131*0.1</x:f>
        <x:v>0</x:v>
      </x:c>
      <x:c r="F131" s="5">
        <x:f t="shared" si="19"/>
        <x:v>0</x:v>
      </x:c>
      <x:c r="G131" s="6"/>
      <x:c r="H131" s="299"/>
      <x:c r="I131" s="3"/>
      <x:c r="J131" s="3"/>
      <x:c r="K131" s="4"/>
      <x:c r="L131" s="4">
        <x:f>+K131*0.1</x:f>
        <x:v>0</x:v>
      </x:c>
      <x:c r="M131" s="5">
        <x:f t="shared" si="20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>+INT(D132*0.1)</x:f>
        <x:v>0</x:v>
      </x:c>
      <x:c r="F132" s="5">
        <x:f t="shared" si="19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0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 t="shared" ref="E133:E141" si="21">+INT(D133*0.1)</x:f>
        <x:v>0</x:v>
      </x:c>
      <x:c r="F133" s="5">
        <x:f t="shared" si="19"/>
        <x:v>0</x:v>
      </x:c>
      <x:c r="G133" s="6"/>
      <x:c r="H133" s="299"/>
      <x:c r="I133" s="3"/>
      <x:c r="J133" s="3"/>
      <x:c r="K133" s="4"/>
      <x:c r="L133" s="4">
        <x:f t="shared" ref="L133:L142" si="22">+K133*0.1</x:f>
        <x:v>0</x:v>
      </x:c>
      <x:c r="M133" s="5">
        <x:f t="shared" si="20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 t="shared" si="21"/>
        <x:v>0</x:v>
      </x:c>
      <x:c r="F134" s="5">
        <x:f t="shared" si="19"/>
        <x:v>0</x:v>
      </x:c>
      <x:c r="G134" s="6"/>
      <x:c r="H134" s="299"/>
      <x:c r="I134" s="3"/>
      <x:c r="J134" s="3"/>
      <x:c r="K134" s="4"/>
      <x:c r="L134" s="4">
        <x:f t="shared" si="22"/>
        <x:v>0</x:v>
      </x:c>
      <x:c r="M134" s="5">
        <x:f t="shared" si="20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si="21"/>
        <x:v>0</x:v>
      </x:c>
      <x:c r="F135" s="5">
        <x:f t="shared" si="19"/>
        <x:v>0</x:v>
      </x:c>
      <x:c r="G135" s="6"/>
      <x:c r="H135" s="299"/>
      <x:c r="I135" s="3"/>
      <x:c r="J135" s="3"/>
      <x:c r="K135" s="4"/>
      <x:c r="L135" s="4">
        <x:f t="shared" si="22"/>
        <x:v>0</x:v>
      </x:c>
      <x:c r="M135" s="5">
        <x:f t="shared" si="20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1"/>
        <x:v>0</x:v>
      </x:c>
      <x:c r="F136" s="5">
        <x:f t="shared" si="19"/>
        <x:v>0</x:v>
      </x:c>
      <x:c r="G136" s="6"/>
      <x:c r="H136" s="299"/>
      <x:c r="I136" s="3"/>
      <x:c r="J136" s="3"/>
      <x:c r="K136" s="4"/>
      <x:c r="L136" s="4">
        <x:f t="shared" si="22"/>
        <x:v>0</x:v>
      </x:c>
      <x:c r="M136" s="5">
        <x:f t="shared" si="20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1"/>
        <x:v>0</x:v>
      </x:c>
      <x:c r="F137" s="5">
        <x:f t="shared" si="19"/>
        <x:v>0</x:v>
      </x:c>
      <x:c r="G137" s="6"/>
      <x:c r="H137" s="299"/>
      <x:c r="I137" s="3"/>
      <x:c r="J137" s="3"/>
      <x:c r="K137" s="4"/>
      <x:c r="L137" s="4">
        <x:f t="shared" si="22"/>
        <x:v>0</x:v>
      </x:c>
      <x:c r="M137" s="5">
        <x:f t="shared" si="20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>
        <x:f t="shared" si="21"/>
        <x:v>0</x:v>
      </x:c>
      <x:c r="F138" s="5">
        <x:f t="shared" si="19"/>
        <x:v>0</x:v>
      </x:c>
      <x:c r="G138" s="6"/>
      <x:c r="H138" s="299"/>
      <x:c r="I138" s="3"/>
      <x:c r="J138" s="3"/>
      <x:c r="K138" s="4"/>
      <x:c r="L138" s="4">
        <x:f t="shared" si="22"/>
        <x:v>0</x:v>
      </x:c>
      <x:c r="M138" s="5">
        <x:f t="shared" si="20"/>
        <x:v>0</x:v>
      </x:c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1"/>
        <x:v>0</x:v>
      </x:c>
      <x:c r="F139" s="5">
        <x:f t="shared" si="19"/>
        <x:v>0</x:v>
      </x:c>
      <x:c r="G139" s="6"/>
      <x:c r="H139" s="299"/>
      <x:c r="I139" s="3"/>
      <x:c r="J139" s="3"/>
      <x:c r="K139" s="4"/>
      <x:c r="L139" s="4">
        <x:f t="shared" si="22"/>
        <x:v>0</x:v>
      </x:c>
      <x:c r="M139" s="5">
        <x:f t="shared" si="20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1"/>
        <x:v>0</x:v>
      </x:c>
      <x:c r="F140" s="5">
        <x:f t="shared" si="19"/>
        <x:v>0</x:v>
      </x:c>
      <x:c r="G140" s="6"/>
      <x:c r="H140" s="299"/>
      <x:c r="I140" s="3"/>
      <x:c r="J140" s="3"/>
      <x:c r="K140" s="4"/>
      <x:c r="L140" s="4">
        <x:f t="shared" si="22"/>
        <x:v>0</x:v>
      </x:c>
      <x:c r="M140" s="5">
        <x:f t="shared" si="20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1"/>
        <x:v>0</x:v>
      </x:c>
      <x:c r="F141" s="5">
        <x:f t="shared" si="19"/>
        <x:v>0</x:v>
      </x:c>
      <x:c r="G141" s="6"/>
      <x:c r="H141" s="299"/>
      <x:c r="I141" s="3"/>
      <x:c r="J141" s="3"/>
      <x:c r="K141" s="4"/>
      <x:c r="L141" s="4">
        <x:f t="shared" si="22"/>
        <x:v>0</x:v>
      </x:c>
      <x:c r="M141" s="5">
        <x:f t="shared" si="20"/>
        <x:v>0</x:v>
      </x:c>
      <x:c r="N141" s="6"/>
    </x:row>
    <x:row r="142" spans="1:14" ht="20.100000000000001" customHeight="1">
      <x:c r="A142" s="300"/>
      <x:c r="B142" s="3"/>
      <x:c r="C142" s="3"/>
      <x:c r="D142" s="4"/>
      <x:c r="E142" s="4"/>
      <x:c r="F142" s="5"/>
      <x:c r="G142" s="6"/>
      <x:c r="H142" s="300"/>
      <x:c r="I142" s="3"/>
      <x:c r="J142" s="3"/>
      <x:c r="K142" s="4"/>
      <x:c r="L142" s="4">
        <x:f t="shared" si="22"/>
        <x:v>0</x:v>
      </x:c>
      <x:c r="M142" s="5">
        <x:f t="shared" si="20"/>
        <x:v>0</x:v>
      </x:c>
      <x:c r="N142" s="6"/>
    </x:row>
    <x:row r="143" spans="1:14" ht="20.100000000000001" customHeight="1">
      <x:c r="A143" s="7" t="s">
        <x:v>155</x:v>
      </x:c>
      <x:c r="B143" s="8"/>
      <x:c r="C143" s="8"/>
      <x:c r="D143" s="9">
        <x:f>SUM(D128:D142)</x:f>
        <x:v>105070000</x:v>
      </x:c>
      <x:c r="E143" s="9">
        <x:f>SUM(E128:E142)</x:f>
        <x:v>10507000</x:v>
      </x:c>
      <x:c r="F143" s="10">
        <x:f>SUM(F128:F142)</x:f>
        <x:v>115577000</x:v>
      </x:c>
      <x:c r="G143" s="11"/>
      <x:c r="H143" s="7"/>
      <x:c r="I143" s="8"/>
      <x:c r="J143" s="8"/>
      <x:c r="K143" s="9">
        <x:f>SUM(K128:K142)</x:f>
        <x:v>0</x:v>
      </x:c>
      <x:c r="L143" s="9">
        <x:f>SUM(L128:L142)</x:f>
        <x:v>0</x:v>
      </x:c>
      <x:c r="M143" s="10">
        <x:f>SUM(M128:M142)</x:f>
        <x:v>0</x:v>
      </x:c>
      <x:c r="N143" s="11"/>
    </x:row>
    <x:row r="144" spans="1:14" ht="20.100000000000001" customHeight="1">
      <x:c r="A144" s="301" t="s">
        <x:v>153</x:v>
      </x:c>
      <x:c r="B144" s="3" t="s">
        <x:v>1677</x:v>
      </x:c>
      <x:c r="C144" s="3"/>
      <x:c r="D144" s="44"/>
      <x:c r="E144" s="44"/>
      <x:c r="F144" s="45">
        <x:f>+D144+E144</x:f>
        <x:v>0</x:v>
      </x:c>
      <x:c r="G144" s="37"/>
      <x:c r="H144" s="301" t="s">
        <x:v>153</x:v>
      </x:c>
      <x:c r="I144" s="3"/>
      <x:c r="J144" s="3"/>
      <x:c r="K144" s="4"/>
      <x:c r="L144" s="4">
        <x:f>+K144*0.1</x:f>
        <x:v>0</x:v>
      </x:c>
      <x:c r="M144" s="5">
        <x:f>+K144+L144</x:f>
        <x:v>0</x:v>
      </x:c>
      <x:c r="N144" s="6"/>
    </x:row>
    <x:row r="145" spans="1:14" ht="20.100000000000001" customHeight="1">
      <x:c r="A145" s="299"/>
      <x:c r="B145" s="3" t="s">
        <x:v>960</x:v>
      </x:c>
      <x:c r="C145" s="3" t="s">
        <x:v>950</x:v>
      </x:c>
      <x:c r="D145" s="44">
        <x:v>7000000</x:v>
      </x:c>
      <x:c r="E145" s="44">
        <x:f>+D145*0.1</x:f>
        <x:v>700000</x:v>
      </x:c>
      <x:c r="F145" s="45">
        <x:f>+D145+E145</x:f>
        <x:v>7700000</x:v>
      </x:c>
      <x:c r="G145" s="37"/>
      <x:c r="H145" s="299"/>
      <x:c r="I145" s="3"/>
      <x:c r="J145" s="3"/>
      <x:c r="K145" s="4"/>
      <x:c r="L145" s="4">
        <x:f>+K145*0.1</x:f>
        <x:v>0</x:v>
      </x:c>
      <x:c r="M145" s="5">
        <x:f>+K145+L145</x:f>
        <x:v>0</x:v>
      </x:c>
      <x:c r="N145" s="6"/>
    </x:row>
    <x:row r="146" spans="1:14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>+D146+E146</x:f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>+K146+L146</x:f>
        <x:v>0</x:v>
      </x:c>
      <x:c r="N146" s="6"/>
    </x:row>
    <x:row r="147" spans="1:14" ht="20.100000000000001" customHeight="1">
      <x:c r="A147" s="300"/>
      <x:c r="B147" s="3"/>
      <x:c r="C147" s="3"/>
      <x:c r="D147" s="4"/>
      <x:c r="E147" s="4">
        <x:f>+D147*0.1</x:f>
        <x:v>0</x:v>
      </x:c>
      <x:c r="F147" s="5">
        <x:f>+D147+E147</x:f>
        <x:v>0</x:v>
      </x:c>
      <x:c r="G147" s="6"/>
      <x:c r="H147" s="300"/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7" t="s">
        <x:v>155</x:v>
      </x:c>
      <x:c r="B148" s="8"/>
      <x:c r="C148" s="8"/>
      <x:c r="D148" s="9">
        <x:f>SUM(D144:D147)</x:f>
        <x:v>7000000</x:v>
      </x:c>
      <x:c r="E148" s="9">
        <x:f>SUM(E144:E147)</x:f>
        <x:v>700000</x:v>
      </x:c>
      <x:c r="F148" s="10">
        <x:f>SUM(F144:F147)</x:f>
        <x:v>7700000</x:v>
      </x:c>
      <x:c r="G148" s="11"/>
      <x:c r="H148" s="7"/>
      <x:c r="I148" s="8"/>
      <x:c r="J148" s="8"/>
      <x:c r="K148" s="9">
        <x:f>SUM(K144:K147)</x:f>
        <x:v>0</x:v>
      </x:c>
      <x:c r="L148" s="9">
        <x:f>SUM(L144:L147)</x:f>
        <x:v>0</x:v>
      </x:c>
      <x:c r="M148" s="10">
        <x:f>SUM(M144:M147)</x:f>
        <x:v>0</x:v>
      </x:c>
      <x:c r="N148" s="11"/>
    </x:row>
    <x:row r="149" spans="1:14" ht="20.100000000000001" customHeight="1">
      <x:c r="A149" s="301" t="s">
        <x:v>187</x:v>
      </x:c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301" t="s">
        <x:v>187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299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</x:row>
    <x:row r="152" spans="1:14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7" t="s">
        <x:v>155</x:v>
      </x:c>
      <x:c r="B153" s="8"/>
      <x:c r="C153" s="8"/>
      <x:c r="D153" s="9">
        <x:f>SUM(D149:D152)</x:f>
        <x:v>0</x:v>
      </x:c>
      <x:c r="E153" s="9">
        <x:f>SUM(E149:E152)</x:f>
        <x:v>0</x:v>
      </x:c>
      <x:c r="F153" s="10">
        <x:f>SUM(F149:F152)</x:f>
        <x:v>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</x:row>
    <x:row r="154" spans="1:14" ht="20.100000000000001" customHeight="1">
      <x:c r="A154" s="301" t="s">
        <x:v>149</x:v>
      </x:c>
      <x:c r="B154" s="3" t="s">
        <x:v>806</x:v>
      </x:c>
      <x:c r="C154" s="3" t="s">
        <x:v>1282</x:v>
      </x:c>
      <x:c r="D154" s="4">
        <x:v>4500000</x:v>
      </x:c>
      <x:c r="E154" s="4">
        <x:f>+D154*0.1</x:f>
        <x:v>450000</x:v>
      </x:c>
      <x:c r="F154" s="5">
        <x:f>+D154+E154</x:f>
        <x:v>4950000</x:v>
      </x:c>
      <x:c r="G154" s="6" t="s">
        <x:v>808</x:v>
      </x:c>
      <x:c r="H154" s="301" t="s">
        <x:v>149</x:v>
      </x:c>
      <x:c r="I154" s="3"/>
      <x:c r="J154" s="3"/>
      <x:c r="K154" s="4"/>
      <x:c r="L154" s="4"/>
      <x:c r="M154" s="5">
        <x:f t="shared" ref="M154:M161" si="23">+K154+L154</x:f>
        <x:v>0</x:v>
      </x:c>
      <x:c r="N154" s="6"/>
    </x:row>
    <x:row r="155" spans="1:14" ht="20.100000000000001" customHeight="1">
      <x:c r="A155" s="299"/>
      <x:c r="B155" s="3"/>
      <x:c r="C155" s="3"/>
      <x:c r="D155" s="4"/>
      <x:c r="E155" s="4"/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 t="shared" si="23"/>
        <x:v>0</x:v>
      </x:c>
      <x:c r="N155" s="6"/>
    </x:row>
    <x:row r="156" spans="1:14" ht="20.100000000000001" customHeight="1">
      <x:c r="A156" s="299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299"/>
      <x:c r="I156" s="3"/>
      <x:c r="J156" s="3"/>
      <x:c r="K156" s="4"/>
      <x:c r="L156" s="4">
        <x:f>+K156*0.1</x:f>
        <x:v>0</x:v>
      </x:c>
      <x:c r="M156" s="5">
        <x:f t="shared" si="23"/>
        <x:v>0</x:v>
      </x:c>
      <x:c r="N156" s="6"/>
    </x:row>
    <x:row r="157" spans="1:14" ht="20.100000000000001" customHeight="1">
      <x:c r="A157" s="299"/>
      <x:c r="B157" s="3"/>
      <x:c r="C157" s="3"/>
      <x:c r="D157" s="4"/>
      <x:c r="E157" s="4">
        <x:f>+D157*0.1</x:f>
        <x:v>0</x:v>
      </x:c>
      <x:c r="F157" s="5">
        <x:f t="shared" ref="F157:F163" si="24">+D157+E157</x:f>
        <x:v>0</x:v>
      </x:c>
      <x:c r="G157" s="6"/>
      <x:c r="H157" s="299"/>
      <x:c r="I157" s="3"/>
      <x:c r="J157" s="3"/>
      <x:c r="K157" s="4"/>
      <x:c r="L157" s="4">
        <x:f>+K157*0.1</x:f>
        <x:v>0</x:v>
      </x:c>
      <x:c r="M157" s="5">
        <x:f t="shared" si="23"/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 t="shared" si="24"/>
        <x:v>0</x:v>
      </x:c>
      <x:c r="G158" s="6"/>
      <x:c r="H158" s="299"/>
      <x:c r="I158" s="3"/>
      <x:c r="J158" s="3"/>
      <x:c r="K158" s="4"/>
      <x:c r="L158" s="4">
        <x:f t="shared" ref="L158:L163" si="25">+K158*0.1</x:f>
        <x:v>0</x:v>
      </x:c>
      <x:c r="M158" s="5">
        <x:f t="shared" si="23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 t="shared" si="24"/>
        <x:v>0</x:v>
      </x:c>
      <x:c r="G159" s="6"/>
      <x:c r="H159" s="299"/>
      <x:c r="I159" s="3"/>
      <x:c r="J159" s="3"/>
      <x:c r="K159" s="4"/>
      <x:c r="L159" s="4">
        <x:f t="shared" si="25"/>
        <x:v>0</x:v>
      </x:c>
      <x:c r="M159" s="5">
        <x:f t="shared" si="23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si="24"/>
        <x:v>0</x:v>
      </x:c>
      <x:c r="G160" s="6"/>
      <x:c r="H160" s="299"/>
      <x:c r="I160" s="3"/>
      <x:c r="J160" s="3"/>
      <x:c r="K160" s="4"/>
      <x:c r="L160" s="4">
        <x:f t="shared" si="25"/>
        <x:v>0</x:v>
      </x:c>
      <x:c r="M160" s="5">
        <x:f t="shared" si="23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4"/>
        <x:v>0</x:v>
      </x:c>
      <x:c r="G161" s="6"/>
      <x:c r="H161" s="299"/>
      <x:c r="I161" s="3"/>
      <x:c r="J161" s="3"/>
      <x:c r="K161" s="4"/>
      <x:c r="L161" s="4">
        <x:f t="shared" si="25"/>
        <x:v>0</x:v>
      </x:c>
      <x:c r="M161" s="5">
        <x:f t="shared" si="23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4"/>
        <x:v>0</x:v>
      </x:c>
      <x:c r="G162" s="6"/>
      <x:c r="H162" s="299"/>
      <x:c r="I162" s="3"/>
      <x:c r="J162" s="3"/>
      <x:c r="K162" s="4"/>
      <x:c r="L162" s="4">
        <x:f t="shared" si="25"/>
        <x:v>0</x:v>
      </x:c>
      <x:c r="M162" s="5"/>
      <x:c r="N162" s="6"/>
    </x:row>
    <x:row r="163" spans="1:14" ht="20.100000000000001" customHeight="1">
      <x:c r="A163" s="300"/>
      <x:c r="B163" s="3"/>
      <x:c r="C163" s="3"/>
      <x:c r="D163" s="4"/>
      <x:c r="E163" s="4"/>
      <x:c r="F163" s="5">
        <x:f t="shared" si="24"/>
        <x:v>0</x:v>
      </x:c>
      <x:c r="G163" s="6"/>
      <x:c r="H163" s="300"/>
      <x:c r="I163" s="3"/>
      <x:c r="J163" s="3"/>
      <x:c r="K163" s="4"/>
      <x:c r="L163" s="4">
        <x:f t="shared" si="25"/>
        <x:v>0</x:v>
      </x:c>
      <x:c r="M163" s="5">
        <x:f>+K163+L163</x:f>
        <x:v>0</x:v>
      </x:c>
      <x:c r="N163" s="6"/>
    </x:row>
    <x:row r="164" spans="1:14" ht="20.100000000000001" customHeight="1">
      <x:c r="A164" s="7" t="s">
        <x:v>155</x:v>
      </x:c>
      <x:c r="B164" s="8"/>
      <x:c r="C164" s="8"/>
      <x:c r="D164" s="9">
        <x:f>SUM(D154:D163)</x:f>
        <x:v>4500000</x:v>
      </x:c>
      <x:c r="E164" s="9">
        <x:f>SUM(E154:E163)</x:f>
        <x:v>450000</x:v>
      </x:c>
      <x:c r="F164" s="10">
        <x:f>SUM(F154:F163)</x:f>
        <x:v>4950000</x:v>
      </x:c>
      <x:c r="G164" s="11"/>
      <x:c r="H164" s="7"/>
      <x:c r="I164" s="8"/>
      <x:c r="J164" s="8"/>
      <x:c r="K164" s="9">
        <x:f>SUM(K154:K163)</x:f>
        <x:v>0</x:v>
      </x:c>
      <x:c r="L164" s="9">
        <x:f>SUM(L154:L163)</x:f>
        <x:v>0</x:v>
      </x:c>
      <x:c r="M164" s="10">
        <x:f>SUM(M154:M163)</x:f>
        <x:v>0</x:v>
      </x:c>
      <x:c r="N164" s="11"/>
    </x:row>
    <x:row r="165" spans="1:14" ht="20.100000000000001" customHeight="1">
      <x:c r="A165" s="12" t="s">
        <x:v>1690</x:v>
      </x:c>
      <x:c r="B165" s="13"/>
      <x:c r="C165" s="13"/>
      <x:c r="D165" s="14">
        <x:f>+D143+D148+D153+D164</x:f>
        <x:v>116570000</x:v>
      </x:c>
      <x:c r="E165" s="14">
        <x:f>+E143+E148+E153+E164</x:f>
        <x:v>11657000</x:v>
      </x:c>
      <x:c r="F165" s="15">
        <x:f>+F143+F148+F153+F164</x:f>
        <x:v>128227000</x:v>
      </x:c>
      <x:c r="G165" s="16"/>
      <x:c r="H165" s="12"/>
      <x:c r="I165" s="13"/>
      <x:c r="J165" s="13"/>
      <x:c r="K165" s="14">
        <x:f>+K143+K148+K153+K164</x:f>
        <x:v>0</x:v>
      </x:c>
      <x:c r="L165" s="14">
        <x:f>+L143+L148+L153+L164</x:f>
        <x:v>0</x:v>
      </x:c>
      <x:c r="M165" s="15">
        <x:f>+M143+M148+M153+M164</x:f>
        <x:v>0</x:v>
      </x:c>
      <x:c r="N165" s="16"/>
    </x:row>
    <x:row r="166" spans="1:14" ht="20.100000000000001" customHeight="1">
      <x:c r="A166" s="23" t="s">
        <x:v>35</x:v>
      </x:c>
      <x:c r="B166" s="24"/>
      <x:c r="C166" s="24"/>
      <x:c r="D166" s="25">
        <x:f>+D127-D165</x:f>
        <x:v>-116570000</x:v>
      </x:c>
      <x:c r="E166" s="25">
        <x:f>+E127-E165</x:f>
        <x:v>-11657000</x:v>
      </x:c>
      <x:c r="F166" s="26">
        <x:f>+F127-F165</x:f>
        <x:v>-128227000</x:v>
      </x:c>
      <x:c r="G166" s="27"/>
      <x:c r="H166" s="23"/>
      <x:c r="I166" s="24"/>
      <x:c r="J166" s="24"/>
      <x:c r="K166" s="25">
        <x:f>+K127-K165</x:f>
        <x:v>0</x:v>
      </x:c>
      <x:c r="L166" s="25">
        <x:f>+L127-L165</x:f>
        <x:v>0</x:v>
      </x:c>
      <x:c r="M166" s="26">
        <x:f>+M127-M165</x:f>
        <x:v>0</x:v>
      </x:c>
      <x:c r="N166" s="27"/>
    </x:row>
    <x:row r="169" spans="1:13">
      <x:c r="A169" s="1" t="s">
        <x:v>148</x:v>
      </x:c>
      <x:c r="D169" s="2">
        <x:f>+D17+D60+D101+D143</x:f>
        <x:v>390692198</x:v>
      </x:c>
      <x:c r="E169" s="2">
        <x:f>+E17+E60+E101+E143</x:f>
        <x:v>39069219</x:v>
      </x:c>
      <x:c r="F169" s="2">
        <x:f>+F17+F60+F101+F143</x:f>
        <x:v>429761417</x:v>
      </x:c>
      <x:c r="K169" s="2">
        <x:f>+K17+K60+K101+K143</x:f>
        <x:v>116568341</x:v>
      </x:c>
      <x:c r="L169" s="2">
        <x:f>+L17+L60+L101+L143</x:f>
        <x:v>11656833.1</x:v>
      </x:c>
      <x:c r="M169" s="2">
        <x:f>+M17+M60+M101+M143</x:f>
        <x:v>128225174.10000001</x:v>
      </x:c>
    </x:row>
    <x:row r="170" spans="1:13">
      <x:c r="A170" s="1" t="s">
        <x:v>153</x:v>
      </x:c>
      <x:c r="D170" s="2">
        <x:f>+D22+D65+D106+D148</x:f>
        <x:v>121497660</x:v>
      </x:c>
      <x:c r="E170" s="2">
        <x:f>+E22+E65+E106+E148</x:f>
        <x:v>330620</x:v>
      </x:c>
      <x:c r="F170" s="2">
        <x:f>+F22+F65+F106+F148</x:f>
        <x:v>121828280</x:v>
      </x:c>
      <x:c r="K170" s="2">
        <x:f>+K22+K65+K106+K148</x:f>
        <x:v>78092800</x:v>
      </x:c>
      <x:c r="L170" s="2">
        <x:f>+L22+L65+L106+L148</x:f>
        <x:v>13560</x:v>
      </x:c>
      <x:c r="M170" s="2">
        <x:f>+M22+M65+M106+M148</x:f>
        <x:v>78106360</x:v>
      </x:c>
    </x:row>
    <x:row r="171" spans="1:13" s="2" customFormat="1">
      <x:c r="A171" s="1" t="s">
        <x:v>187</x:v>
      </x:c>
      <x:c r="B171" s="1"/>
      <x:c r="C171" s="1"/>
      <x:c r="D171" s="2">
        <x:f>+D27+D70+D111+D153</x:f>
        <x:v>350000</x:v>
      </x:c>
      <x:c r="E171" s="2">
        <x:f>+E27+E70+E111+E153</x:f>
        <x:v>35000</x:v>
      </x:c>
      <x:c r="F171" s="2">
        <x:f>+F27+F70+F111+F153</x:f>
        <x:v>385000</x:v>
      </x:c>
      <x:c r="H171" s="1"/>
      <x:c r="I171" s="1"/>
      <x:c r="J171" s="1"/>
      <x:c r="K171" s="2">
        <x:f>+K27+K70+K111+K153</x:f>
        <x:v>3620000</x:v>
      </x:c>
      <x:c r="L171" s="2">
        <x:f>+L27+L70+L111+L153</x:f>
        <x:v>362000</x:v>
      </x:c>
      <x:c r="M171" s="2">
        <x:f>+M27+M70+M111+M153</x:f>
        <x:v>3982000</x:v>
      </x:c>
    </x:row>
    <x:row r="172" spans="1:13" s="2" customFormat="1">
      <x:c r="A172" s="1" t="s">
        <x:v>149</x:v>
      </x:c>
      <x:c r="B172" s="1"/>
      <x:c r="C172" s="1"/>
      <x:c r="D172" s="2">
        <x:f>+D38+D81+D122+D164</x:f>
        <x:v>19528780</x:v>
      </x:c>
      <x:c r="E172" s="2">
        <x:f>+E38+E81+E122+E164</x:f>
        <x:v>999064</x:v>
      </x:c>
      <x:c r="F172" s="2">
        <x:f>+F38+F81+F122+F164</x:f>
        <x:v>20527844</x:v>
      </x:c>
      <x:c r="H172" s="1"/>
      <x:c r="I172" s="1"/>
      <x:c r="J172" s="1"/>
      <x:c r="K172" s="2">
        <x:f>+K38+K81+K122+K164</x:f>
        <x:v>17555871</x:v>
      </x:c>
      <x:c r="L172" s="2">
        <x:f>+L38+L81+L122+L164</x:f>
        <x:v>1376459</x:v>
      </x:c>
      <x:c r="M172" s="2">
        <x:f>+M38+M81+M122+M164</x:f>
        <x:v>18932330</x:v>
      </x:c>
    </x:row>
    <x:row r="173" spans="1:13" s="2" customFormat="1">
      <x:c r="A173" s="1" t="s">
        <x:v>202</x:v>
      </x:c>
      <x:c r="B173" s="1"/>
      <x:c r="C173" s="1"/>
      <x:c r="D173" s="2">
        <x:f>SUM(D169:D172)</x:f>
        <x:v>532068638</x:v>
      </x:c>
      <x:c r="E173" s="2">
        <x:f>SUM(E169:E172)</x:f>
        <x:v>40433903</x:v>
      </x:c>
      <x:c r="F173" s="2">
        <x:f>SUM(F169:F172)</x:f>
        <x:v>572502541</x:v>
      </x:c>
      <x:c r="H173" s="1"/>
      <x:c r="I173" s="1"/>
      <x:c r="J173" s="1"/>
      <x:c r="K173" s="2">
        <x:f>SUM(K169:K172)</x:f>
        <x:v>215837012</x:v>
      </x:c>
      <x:c r="L173" s="2">
        <x:f>SUM(L169:L172)</x:f>
        <x:v>13408852.1</x:v>
      </x:c>
      <x:c r="M173" s="2">
        <x:f>SUM(M169:M172)</x:f>
        <x:v>229245864.10000002</x:v>
      </x:c>
    </x:row>
    <x:row r="176" spans="1:10" s="2" customFormat="1">
      <x:c r="A176" s="1" t="s">
        <x:v>148</x:v>
      </x:c>
      <x:c r="B176" s="1"/>
      <x:c r="C176" s="1"/>
      <x:c r="D176" s="2">
        <x:f>+D169+K169</x:f>
        <x:v>507260539</x:v>
      </x:c>
      <x:c r="E176" s="2">
        <x:f>+E169+L169</x:f>
        <x:v>50726052.100000001</x:v>
      </x:c>
      <x:c r="F176" s="2">
        <x:f>+F169+M169</x:f>
        <x:v>557986591.10000002</x:v>
      </x:c>
      <x:c r="H176" s="1"/>
      <x:c r="I176" s="1"/>
      <x:c r="J176" s="1"/>
    </x:row>
    <x:row r="177" spans="1:10" s="2" customFormat="1">
      <x:c r="A177" s="1" t="s">
        <x:v>153</x:v>
      </x:c>
      <x:c r="B177" s="1"/>
      <x:c r="C177" s="1"/>
      <x:c r="D177" s="2">
        <x:f t="shared" ref="D177:F179" si="26">+D170+K170</x:f>
        <x:v>199590460</x:v>
      </x:c>
      <x:c r="E177" s="2">
        <x:f t="shared" si="26"/>
        <x:v>344180</x:v>
      </x:c>
      <x:c r="F177" s="2">
        <x:f t="shared" si="26"/>
        <x:v>199934640</x:v>
      </x:c>
      <x:c r="H177" s="1"/>
      <x:c r="I177" s="1"/>
      <x:c r="J177" s="1"/>
    </x:row>
    <x:row r="178" spans="1:10" s="2" customFormat="1">
      <x:c r="A178" s="1" t="s">
        <x:v>187</x:v>
      </x:c>
      <x:c r="B178" s="1"/>
      <x:c r="C178" s="1"/>
      <x:c r="D178" s="2">
        <x:f t="shared" si="26"/>
        <x:v>3970000</x:v>
      </x:c>
      <x:c r="E178" s="2">
        <x:f t="shared" si="26"/>
        <x:v>397000</x:v>
      </x:c>
      <x:c r="F178" s="2">
        <x:f t="shared" si="26"/>
        <x:v>4367000</x:v>
      </x:c>
      <x:c r="H178" s="1"/>
      <x:c r="I178" s="1"/>
      <x:c r="J178" s="1"/>
    </x:row>
    <x:row r="179" spans="1:10" s="2" customFormat="1">
      <x:c r="A179" s="1" t="s">
        <x:v>149</x:v>
      </x:c>
      <x:c r="B179" s="1"/>
      <x:c r="C179" s="1"/>
      <x:c r="D179" s="2">
        <x:f t="shared" si="26"/>
        <x:v>37084651</x:v>
      </x:c>
      <x:c r="E179" s="2">
        <x:f t="shared" si="26"/>
        <x:v>2375523</x:v>
      </x:c>
      <x:c r="F179" s="2">
        <x:f t="shared" si="26"/>
        <x:v>39460174</x:v>
      </x:c>
      <x:c r="H179" s="1"/>
      <x:c r="I179" s="1"/>
      <x:c r="J179" s="1"/>
    </x:row>
    <x:row r="180" spans="1:10" s="2" customFormat="1">
      <x:c r="A180" s="1" t="s">
        <x:v>1019</x:v>
      </x:c>
      <x:c r="B180" s="1"/>
      <x:c r="C180" s="1"/>
      <x:c r="D180" s="2">
        <x:f>SUM(D176:D179)</x:f>
        <x:v>747905650</x:v>
      </x:c>
      <x:c r="E180" s="2">
        <x:f>SUM(E176:E179)</x:f>
        <x:v>53842755.100000001</x:v>
      </x:c>
      <x:c r="F180" s="2">
        <x:f>SUM(F176:F179)</x:f>
        <x:v>801748405.10000002</x:v>
      </x:c>
      <x:c r="H180" s="1"/>
      <x:c r="I180" s="1"/>
      <x:c r="J180" s="1"/>
    </x:row>
    <x:row r="181" spans="1:10" s="2" customFormat="1">
      <x:c r="A181" s="1" t="s">
        <x:v>151</x:v>
      </x:c>
      <x:c r="B181" s="1"/>
      <x:c r="C181" s="1"/>
      <x:c r="D181" s="2">
        <x:f>D4+D43+D86+K4+K43+K86+D127+K127</x:f>
        <x:v>272673196</x:v>
      </x:c>
      <x:c r="E181" s="2">
        <x:f>E4+E43+E86+L4+L43+L86</x:f>
        <x:v>10179204</x:v>
      </x:c>
      <x:c r="F181" s="2">
        <x:f>F4+F43+F86+M4+M43+M86</x:f>
        <x:v>282852400</x:v>
      </x:c>
      <x:c r="H181" s="1"/>
      <x:c r="I181" s="1"/>
      <x:c r="J181" s="1"/>
    </x:row>
    <x:row r="182" spans="1:10" s="2" customFormat="1">
      <x:c r="A182" s="1" t="s">
        <x:v>632</x:v>
      </x:c>
      <x:c r="B182" s="1"/>
      <x:c r="C182" s="1"/>
      <x:c r="D182" s="2">
        <x:f>+D181-D180</x:f>
        <x:v>-475232454</x:v>
      </x:c>
      <x:c r="E182" s="2">
        <x:f>+E181-E180</x:f>
        <x:v>-43663551.100000001</x:v>
      </x:c>
      <x:c r="F182" s="2">
        <x:f>+F181-F180</x:f>
        <x:v>-518896005.10000002</x:v>
      </x:c>
      <x:c r="H182" s="1"/>
      <x:c r="I182" s="1"/>
      <x:c r="J182" s="1"/>
    </x:row>
  </x:sheetData>
  <x:mergeCells count="41">
    <x:mergeCell ref="A149:A152"/>
    <x:mergeCell ref="H149:H152"/>
    <x:mergeCell ref="A154:A163"/>
    <x:mergeCell ref="H154:H163"/>
    <x:mergeCell ref="A125:G125"/>
    <x:mergeCell ref="H125:N125"/>
    <x:mergeCell ref="A128:A142"/>
    <x:mergeCell ref="H128:H142"/>
    <x:mergeCell ref="A144:A147"/>
    <x:mergeCell ref="H144:H147"/>
    <x:mergeCell ref="A102:A105"/>
    <x:mergeCell ref="H102:H105"/>
    <x:mergeCell ref="A107:A110"/>
    <x:mergeCell ref="H107:H110"/>
    <x:mergeCell ref="A112:A121"/>
    <x:mergeCell ref="H112:H121"/>
    <x:mergeCell ref="A71:A80"/>
    <x:mergeCell ref="H71:H80"/>
    <x:mergeCell ref="A84:G84"/>
    <x:mergeCell ref="H84:N84"/>
    <x:mergeCell ref="A87:A100"/>
    <x:mergeCell ref="H87:H100"/>
    <x:mergeCell ref="A44:A59"/>
    <x:mergeCell ref="H44:H59"/>
    <x:mergeCell ref="A61:A64"/>
    <x:mergeCell ref="H61:H64"/>
    <x:mergeCell ref="A66:A69"/>
    <x:mergeCell ref="H66:H69"/>
    <x:mergeCell ref="A23:A26"/>
    <x:mergeCell ref="H23:H26"/>
    <x:mergeCell ref="A28:A37"/>
    <x:mergeCell ref="H28:H37"/>
    <x:mergeCell ref="A41:G41"/>
    <x:mergeCell ref="H41:N4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0" min="0" max="1048575" man="1" pt="0"/>
    <x:brk id="83" min="0" max="1048575" man="1" pt="0"/>
    <x:brk id="124" min="0" max="1048575" man="1" pt="0"/>
  </x:rowBreaks>
</x:worksheet>
</file>

<file path=xl/worksheets/sheet4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S113"/>
  <x:sheetViews>
    <x:sheetView view="pageBreakPreview" topLeftCell="A1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59"/>
      <x:c r="C2" s="159"/>
      <x:c r="D2" s="159"/>
      <x:c r="E2" s="159"/>
      <x:c r="F2" s="159"/>
      <x:c r="G2" s="159"/>
      <x:c r="H2" s="159"/>
      <x:c r="I2" s="159"/>
      <x:c r="J2" s="159"/>
      <x:c r="K2" s="159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61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'21년01월(세부내역)'!D4</x:f>
        <x:v>29075000</x:v>
      </x:c>
      <x:c r="F5" s="67">
        <x:f>'21년01월(세부내역)'!D17</x:f>
        <x:v>7054000</x:v>
      </x:c>
      <x:c r="G5" s="67">
        <x:f>'21년01월(세부내역)'!D22</x:f>
        <x:v>47690000</x:v>
      </x:c>
      <x:c r="H5" s="67">
        <x:f>'21년01월(세부내역)'!D27</x:f>
        <x:v>180000</x:v>
      </x:c>
      <x:c r="I5" s="67">
        <x:f>'21년01월(세부내역)'!D38</x:f>
        <x:v>2653769</x:v>
      </x:c>
      <x:c r="J5" s="75">
        <x:f t="shared" ref="J5:J10" si="0">+SUM(F5:I5)</x:f>
        <x:v>57577769</x:v>
      </x:c>
      <x:c r="K5" s="141">
        <x:f t="shared" ref="K5:K10" si="1">E5-J5</x:f>
        <x:v>-28502769</x:v>
      </x:c>
      <x:c r="L5" s="119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'21년01월(세부내역)'!K4</x:f>
        <x:v>48890000</x:v>
      </x:c>
      <x:c r="F6" s="59">
        <x:f>+'21년01월(세부내역)'!K17</x:f>
        <x:v>11788332</x:v>
      </x:c>
      <x:c r="G6" s="59">
        <x:f>'21년01월(세부내역)'!K22</x:f>
        <x:v>26670000</x:v>
      </x:c>
      <x:c r="H6" s="59">
        <x:f>'21년01월(세부내역)'!K27</x:f>
        <x:v>1100000</x:v>
      </x:c>
      <x:c r="I6" s="59">
        <x:f>'21년01월(세부내역)'!K38</x:f>
        <x:v>4397714</x:v>
      </x:c>
      <x:c r="J6" s="75">
        <x:f t="shared" si="0"/>
        <x:v>43956046</x:v>
      </x:c>
      <x:c r="K6" s="140">
        <x:f t="shared" si="1"/>
        <x:v>4933954</x:v>
      </x:c>
      <x:c r="L6" s="59"/>
    </x:row>
    <x:row r="7" spans="1:12" ht="30" customHeight="1">
      <x:c r="A7" s="63">
        <x:v>3</x:v>
      </x:c>
      <x:c r="B7" s="63" t="s">
        <x:v>1021</x:v>
      </x:c>
      <x:c r="C7" s="63" t="s">
        <x:v>1065</x:v>
      </x:c>
      <x:c r="D7" s="115" t="s">
        <x:v>113</x:v>
      </x:c>
      <x:c r="E7" s="74">
        <x:f>'21년01월(세부내역)'!D43</x:f>
        <x:v>112800815</x:v>
      </x:c>
      <x:c r="F7" s="59">
        <x:f>+'21년01월(세부내역)'!D60</x:f>
        <x:v>2661780</x:v>
      </x:c>
      <x:c r="G7" s="59">
        <x:f>'21년01월(세부내역)'!D65</x:f>
        <x:v>23184000</x:v>
      </x:c>
      <x:c r="H7" s="59">
        <x:f>'21년01월(세부내역)'!D70</x:f>
        <x:v>300000</x:v>
      </x:c>
      <x:c r="I7" s="59">
        <x:f>'21년01월(세부내역)'!D81</x:f>
        <x:v>-64430</x:v>
      </x:c>
      <x:c r="J7" s="75">
        <x:f t="shared" si="0"/>
        <x:v>26081350</x:v>
      </x:c>
      <x:c r="K7" s="141">
        <x:f t="shared" si="1"/>
        <x:v>86719465</x:v>
      </x:c>
      <x:c r="L7" s="119"/>
    </x:row>
    <x:row r="8" spans="1:12" ht="30" customHeight="1">
      <x:c r="A8" s="63">
        <x:v>4</x:v>
      </x:c>
      <x:c r="B8" s="63" t="s">
        <x:v>1025</x:v>
      </x:c>
      <x:c r="C8" s="63" t="s">
        <x:v>1065</x:v>
      </x:c>
      <x:c r="D8" s="115" t="s">
        <x:v>115</x:v>
      </x:c>
      <x:c r="E8" s="74">
        <x:f>'21년01월(세부내역)'!K43</x:f>
        <x:v>69392538</x:v>
      </x:c>
      <x:c r="F8" s="59">
        <x:f>'21년01월(세부내역)'!K60</x:f>
        <x:v>933650</x:v>
      </x:c>
      <x:c r="G8" s="59">
        <x:f>'21년01월(세부내역)'!K65</x:f>
        <x:v>14280000</x:v>
      </x:c>
      <x:c r="H8" s="59">
        <x:f>'21년01월(세부내역)'!K70</x:f>
        <x:v>0</x:v>
      </x:c>
      <x:c r="I8" s="59">
        <x:f>'21년01월(세부내역)'!K81</x:f>
        <x:v>3215680</x:v>
      </x:c>
      <x:c r="J8" s="75">
        <x:f t="shared" si="0"/>
        <x:v>18429330</x:v>
      </x:c>
      <x:c r="K8" s="141">
        <x:f t="shared" si="1"/>
        <x:v>50963208</x:v>
      </x:c>
      <x:c r="L8" s="119"/>
    </x:row>
    <x:row r="9" spans="1:12" ht="30" customHeight="1">
      <x:c r="A9" s="63">
        <x:v>5</x:v>
      </x:c>
      <x:c r="B9" s="63" t="s">
        <x:v>415</x:v>
      </x:c>
      <x:c r="C9" s="63" t="s">
        <x:v>791</x:v>
      </x:c>
      <x:c r="D9" s="115" t="s">
        <x:v>95</x:v>
      </x:c>
      <x:c r="E9" s="74">
        <x:f>'21년01월(세부내역)'!D86</x:f>
        <x:v>23000000</x:v>
      </x:c>
      <x:c r="F9" s="59">
        <x:f>'21년01월(세부내역)'!D103</x:f>
        <x:v>12144090</x:v>
      </x:c>
      <x:c r="G9" s="59">
        <x:f>'21년01월(세부내역)'!D108</x:f>
        <x:v>10080000</x:v>
      </x:c>
      <x:c r="H9" s="59">
        <x:f>'21년01월(세부내역)'!D113</x:f>
        <x:v>250000</x:v>
      </x:c>
      <x:c r="I9" s="59">
        <x:f>'21년01월(세부내역)'!D124</x:f>
        <x:v>1605030</x:v>
      </x:c>
      <x:c r="J9" s="75">
        <x:f t="shared" si="0"/>
        <x:v>24079120</x:v>
      </x:c>
      <x:c r="K9" s="141">
        <x:f t="shared" si="1"/>
        <x:v>-1079120</x:v>
      </x:c>
      <x:c r="L9" s="119"/>
    </x:row>
    <x:row r="10" spans="1:12" ht="30" customHeight="1">
      <x:c r="A10" s="63">
        <x:v>6</x:v>
      </x:c>
      <x:c r="B10" s="63" t="s">
        <x:v>789</x:v>
      </x:c>
      <x:c r="C10" s="63" t="s">
        <x:v>156</x:v>
      </x:c>
      <x:c r="D10" s="115" t="s">
        <x:v>96</x:v>
      </x:c>
      <x:c r="E10" s="74">
        <x:f>'21년01월(세부내역)'!K86</x:f>
        <x:v>0</x:v>
      </x:c>
      <x:c r="F10" s="59">
        <x:f>'21년01월(세부내역)'!K103</x:f>
        <x:v>9189700</x:v>
      </x:c>
      <x:c r="G10" s="59">
        <x:f>'21년01월(세부내역)'!K108</x:f>
        <x:v>16460000</x:v>
      </x:c>
      <x:c r="H10" s="59">
        <x:f>'21년01월(세부내역)'!K113</x:f>
        <x:v>0</x:v>
      </x:c>
      <x:c r="I10" s="59">
        <x:f>'21년01월(세부내역)'!K124</x:f>
        <x:v>8220865</x:v>
      </x:c>
      <x:c r="J10" s="75">
        <x:f t="shared" si="0"/>
        <x:v>33870565</x:v>
      </x:c>
      <x:c r="K10" s="141">
        <x:f t="shared" si="1"/>
        <x:v>-33870565</x:v>
      </x:c>
      <x:c r="L10" s="119"/>
    </x:row>
    <x:row r="11" spans="1:12" ht="30" customHeight="1">
      <x:c r="A11" s="64"/>
      <x:c r="B11" s="64" t="s">
        <x:v>1690</x:v>
      </x:c>
      <x:c r="C11" s="64"/>
      <x:c r="D11" s="64"/>
      <x:c r="E11" s="68">
        <x:f t="shared" ref="E11:K11" si="2">SUM(E5:E10)</x:f>
        <x:v>283158353</x:v>
      </x:c>
      <x:c r="F11" s="66">
        <x:f t="shared" si="2"/>
        <x:v>43771552</x:v>
      </x:c>
      <x:c r="G11" s="66">
        <x:f t="shared" si="2"/>
        <x:v>138364000</x:v>
      </x:c>
      <x:c r="H11" s="66">
        <x:f t="shared" si="2"/>
        <x:v>1830000</x:v>
      </x:c>
      <x:c r="I11" s="66">
        <x:f t="shared" si="2"/>
        <x:v>20028628</x:v>
      </x:c>
      <x:c r="J11" s="69">
        <x:f t="shared" si="2"/>
        <x:v>203994180</x:v>
      </x:c>
      <x:c r="K11" s="142">
        <x:f t="shared" si="2"/>
        <x:v>79164173</x:v>
      </x:c>
      <x:c r="L11" s="66"/>
    </x:row>
    <x:row r="23" spans="1:19" s="2" customFormat="1">
      <x:c r="A23" s="1"/>
      <x:c r="B23" s="1"/>
      <x:c r="C23" s="1"/>
      <x:c r="D23" s="1"/>
      <x:c r="E23" s="1"/>
      <x:c r="J23" s="1"/>
      <x:c r="K23" s="1"/>
      <x:c r="M23" s="1"/>
      <x:c r="N23" s="1"/>
      <x:c r="O23" s="1"/>
      <x:c r="P23" s="1"/>
      <x:c r="Q23" s="1"/>
      <x:c r="R23" s="1"/>
      <x:c r="S23" s="1"/>
    </x:row>
    <x:row r="113" spans="4:4">
      <x:c r="D113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4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8"/>
  <x:dimension ref="A1:N185"/>
  <x:sheetViews>
    <x:sheetView view="pageBreakPreview" topLeftCell="A1" zoomScaleNormal="100" zoomScaleSheetLayoutView="100" workbookViewId="0">
      <x:selection activeCell="D17" activeCellId="0" sqref="D17:D17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1795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161" t="s">
        <x:v>144</x:v>
      </x:c>
      <x:c r="C3" s="161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61" t="s">
        <x:v>144</x:v>
      </x:c>
      <x:c r="J3" s="161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29075000</x:v>
      </x:c>
      <x:c r="E4" s="39">
        <x:v>925000</x:v>
      </x:c>
      <x:c r="F4" s="40">
        <x:f>+D4+E4</x:f>
        <x:v>30000000</x:v>
      </x:c>
      <x:c r="G4" s="42"/>
      <x:c r="H4" s="160" t="s">
        <x:v>151</x:v>
      </x:c>
      <x:c r="I4" s="38" t="s">
        <x:v>1679</x:v>
      </x:c>
      <x:c r="J4" s="38" t="s">
        <x:v>1030</x:v>
      </x:c>
      <x:c r="K4" s="39">
        <x:v>48890000</x:v>
      </x:c>
      <x:c r="L4" s="39">
        <x:v>110000</x:v>
      </x:c>
      <x:c r="M4" s="40">
        <x:f>+K4+L4</x:f>
        <x:v>49000000</x:v>
      </x:c>
      <x:c r="N4" s="18"/>
    </x:row>
    <x:row r="5" spans="1:14" ht="20.100000000000001" customHeight="1">
      <x:c r="A5" s="298" t="s">
        <x:v>148</x:v>
      </x:c>
      <x:c r="B5" s="165" t="s">
        <x:v>902</x:v>
      </x:c>
      <x:c r="C5" s="166" t="s">
        <x:v>1189</x:v>
      </x:c>
      <x:c r="D5" s="167">
        <x:v>-2880400</x:v>
      </x:c>
      <x:c r="E5" s="167">
        <x:f>+D5*0.1</x:f>
        <x:v>-288040</x:v>
      </x:c>
      <x:c r="F5" s="168">
        <x:f>+D5+E5</x:f>
        <x:v>-3168440</x:v>
      </x:c>
      <x:c r="G5" s="177" t="s">
        <x:v>1305</x:v>
      </x:c>
      <x:c r="H5" s="298" t="s">
        <x:v>148</x:v>
      </x:c>
      <x:c r="I5" s="19" t="s">
        <x:v>838</x:v>
      </x:c>
      <x:c r="J5" s="19"/>
      <x:c r="K5" s="20"/>
      <x:c r="L5" s="20">
        <x:f t="shared" ref="L5:L13" si="0">+K5*0.1</x:f>
        <x:v>0</x:v>
      </x:c>
      <x:c r="M5" s="21">
        <x:f t="shared" ref="M5:M21" si="1">+K5+L5</x:f>
        <x:v>0</x:v>
      </x:c>
      <x:c r="N5" s="22"/>
    </x:row>
    <x:row r="6" spans="1:14" ht="20.100000000000001" customHeight="1">
      <x:c r="A6" s="299"/>
      <x:c r="B6" s="3" t="s">
        <x:v>902</x:v>
      </x:c>
      <x:c r="C6" s="3" t="s">
        <x:v>1189</x:v>
      </x:c>
      <x:c r="D6" s="4">
        <x:v>2880400</x:v>
      </x:c>
      <x:c r="E6" s="4">
        <x:f>+D6*0.1</x:f>
        <x:v>288040</x:v>
      </x:c>
      <x:c r="F6" s="5">
        <x:f>+D6+E6</x:f>
        <x:v>3168440</x:v>
      </x:c>
      <x:c r="G6" s="158"/>
      <x:c r="H6" s="299"/>
      <x:c r="I6" s="3" t="s">
        <x:v>867</x:v>
      </x:c>
      <x:c r="J6" s="3" t="s">
        <x:v>369</x:v>
      </x:c>
      <x:c r="K6" s="4">
        <x:v>1676175</x:v>
      </x:c>
      <x:c r="L6" s="4">
        <x:f>+INT(K6*0.1)</x:f>
        <x:v>167617</x:v>
      </x:c>
      <x:c r="M6" s="5">
        <x:f t="shared" si="1"/>
        <x:v>1843792</x:v>
      </x:c>
      <x:c r="N6" s="6"/>
    </x:row>
    <x:row r="7" spans="1:14" ht="20.100000000000001" customHeight="1">
      <x:c r="A7" s="299"/>
      <x:c r="B7" s="3" t="s">
        <x:v>938</x:v>
      </x:c>
      <x:c r="C7" s="3"/>
      <x:c r="D7" s="4"/>
      <x:c r="E7" s="4">
        <x:f t="shared" ref="E7:E14" si="2">+D7*0.1</x:f>
        <x:v>0</x:v>
      </x:c>
      <x:c r="F7" s="5">
        <x:f t="shared" ref="F7:F14" si="3">+D7+E7</x:f>
        <x:v>0</x:v>
      </x:c>
      <x:c r="G7" s="37" t="s">
        <x:v>1283</x:v>
      </x:c>
      <x:c r="H7" s="299"/>
      <x:c r="I7" s="3" t="s">
        <x:v>1119</x:v>
      </x:c>
      <x:c r="J7" s="3"/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3" t="s">
        <x:v>1243</x:v>
      </x:c>
      <x:c r="C8" s="3"/>
      <x:c r="D8" s="4"/>
      <x:c r="E8" s="4">
        <x:f t="shared" si="2"/>
        <x:v>0</x:v>
      </x:c>
      <x:c r="F8" s="5">
        <x:f t="shared" si="3"/>
        <x:v>0</x:v>
      </x:c>
      <x:c r="G8" s="37" t="s">
        <x:v>243</x:v>
      </x:c>
      <x:c r="H8" s="299"/>
      <x:c r="I8" s="3" t="s">
        <x:v>1315</x:v>
      </x:c>
      <x:c r="J8" s="3" t="s">
        <x:v>1306</x:v>
      </x:c>
      <x:c r="K8" s="4">
        <x:v>2162907</x:v>
      </x:c>
      <x:c r="L8" s="4">
        <x:f>+(K8*0.1)-5</x:f>
        <x:v>216285.70000000001</x:v>
      </x:c>
      <x:c r="M8" s="5">
        <x:f t="shared" si="1"/>
        <x:v>2379192.7000000002</x:v>
      </x:c>
      <x:c r="N8" s="6"/>
    </x:row>
    <x:row r="9" spans="1:14" ht="20.100000000000001" customHeight="1">
      <x:c r="A9" s="299"/>
      <x:c r="B9" s="3" t="s">
        <x:v>840</x:v>
      </x:c>
      <x:c r="C9" s="3"/>
      <x:c r="D9" s="4"/>
      <x:c r="E9" s="4">
        <x:f t="shared" si="2"/>
        <x:v>0</x:v>
      </x:c>
      <x:c r="F9" s="5">
        <x:f t="shared" si="3"/>
        <x:v>0</x:v>
      </x:c>
      <x:c r="G9" s="37" t="s">
        <x:v>240</x:v>
      </x:c>
      <x:c r="H9" s="299"/>
      <x:c r="I9" s="3" t="s">
        <x:v>840</x:v>
      </x:c>
      <x:c r="J9" s="3"/>
      <x:c r="K9" s="4"/>
      <x:c r="L9" s="4">
        <x:f t="shared" si="0"/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3" t="s">
        <x:v>867</x:v>
      </x:c>
      <x:c r="C10" s="3" t="s">
        <x:v>384</x:v>
      </x:c>
      <x:c r="D10" s="4">
        <x:v>3525000</x:v>
      </x:c>
      <x:c r="E10" s="4">
        <x:f t="shared" si="2"/>
        <x:v>352500</x:v>
      </x:c>
      <x:c r="F10" s="45">
        <x:f t="shared" si="3"/>
        <x:v>3877500</x:v>
      </x:c>
      <x:c r="G10" s="37" t="s">
        <x:v>240</x:v>
      </x:c>
      <x:c r="H10" s="299"/>
      <x:c r="I10" s="3" t="s">
        <x:v>846</x:v>
      </x:c>
      <x:c r="J10" s="3" t="s">
        <x:v>1270</x:v>
      </x:c>
      <x:c r="K10" s="4">
        <x:v>684550</x:v>
      </x:c>
      <x:c r="L10" s="4">
        <x:f t="shared" si="0"/>
        <x:v>68455</x:v>
      </x:c>
      <x:c r="M10" s="5">
        <x:f t="shared" si="1"/>
        <x:v>753005</x:v>
      </x:c>
      <x:c r="N10" s="6"/>
    </x:row>
    <x:row r="11" spans="1:14" ht="20.100000000000001" customHeight="1">
      <x:c r="A11" s="299"/>
      <x:c r="B11" s="3" t="s">
        <x:v>1303</x:v>
      </x:c>
      <x:c r="C11" s="3" t="s">
        <x:v>1299</x:v>
      </x:c>
      <x:c r="D11" s="4">
        <x:v>800000</x:v>
      </x:c>
      <x:c r="E11" s="4">
        <x:f t="shared" si="2"/>
        <x:v>80000</x:v>
      </x:c>
      <x:c r="F11" s="5">
        <x:f t="shared" si="3"/>
        <x:v>880000</x:v>
      </x:c>
      <x:c r="G11" s="37" t="s">
        <x:v>1283</x:v>
      </x:c>
      <x:c r="H11" s="299"/>
      <x:c r="I11" s="3" t="s">
        <x:v>846</x:v>
      </x:c>
      <x:c r="J11" s="3"/>
      <x:c r="K11" s="4"/>
      <x:c r="L11" s="4">
        <x:f t="shared" si="0"/>
        <x:v>0</x:v>
      </x:c>
      <x:c r="M11" s="5">
        <x:f t="shared" si="1"/>
        <x:v>0</x:v>
      </x:c>
      <x:c r="N11" s="6"/>
    </x:row>
    <x:row r="12" spans="1:14" ht="20.100000000000001" customHeight="1">
      <x:c r="A12" s="299"/>
      <x:c r="B12" s="3" t="s">
        <x:v>846</x:v>
      </x:c>
      <x:c r="C12" s="3" t="s">
        <x:v>237</x:v>
      </x:c>
      <x:c r="D12" s="4">
        <x:v>688000</x:v>
      </x:c>
      <x:c r="E12" s="4">
        <x:f t="shared" si="2"/>
        <x:v>68800</x:v>
      </x:c>
      <x:c r="F12" s="5">
        <x:f t="shared" si="3"/>
        <x:v>756800</x:v>
      </x:c>
      <x:c r="G12" s="37" t="s">
        <x:v>1283</x:v>
      </x:c>
      <x:c r="H12" s="299"/>
      <x:c r="I12" s="3" t="s">
        <x:v>1705</x:v>
      </x:c>
      <x:c r="J12" s="3"/>
      <x:c r="K12" s="4"/>
      <x:c r="L12" s="4">
        <x:f t="shared" si="0"/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 t="s">
        <x:v>846</x:v>
      </x:c>
      <x:c r="C13" s="162" t="s">
        <x:v>1300</x:v>
      </x:c>
      <x:c r="D13" s="163">
        <x:v>1121000</x:v>
      </x:c>
      <x:c r="E13" s="4">
        <x:f t="shared" si="2"/>
        <x:v>112100</x:v>
      </x:c>
      <x:c r="F13" s="45">
        <x:f t="shared" si="3"/>
        <x:v>1233100</x:v>
      </x:c>
      <x:c r="G13" s="37" t="s">
        <x:v>240</x:v>
      </x:c>
      <x:c r="H13" s="299"/>
      <x:c r="I13" s="3" t="s">
        <x:v>854</x:v>
      </x:c>
      <x:c r="J13" s="3" t="s">
        <x:v>596</x:v>
      </x:c>
      <x:c r="K13" s="4">
        <x:v>5969500</x:v>
      </x:c>
      <x:c r="L13" s="4">
        <x:f t="shared" si="0"/>
        <x:v>596950</x:v>
      </x:c>
      <x:c r="M13" s="5">
        <x:f t="shared" si="1"/>
        <x:v>6566450</x:v>
      </x:c>
      <x:c r="N13" s="6"/>
    </x:row>
    <x:row r="14" spans="1:14" ht="20.100000000000001" customHeight="1">
      <x:c r="A14" s="299"/>
      <x:c r="B14" s="162" t="s">
        <x:v>846</x:v>
      </x:c>
      <x:c r="C14" s="162" t="s">
        <x:v>1311</x:v>
      </x:c>
      <x:c r="D14" s="163">
        <x:v>920000</x:v>
      </x:c>
      <x:c r="E14" s="4">
        <x:f t="shared" si="2"/>
        <x:v>92000</x:v>
      </x:c>
      <x:c r="F14" s="45">
        <x:f t="shared" si="3"/>
        <x:v>1012000</x:v>
      </x:c>
      <x:c r="G14" s="37" t="s">
        <x:v>243</x:v>
      </x:c>
      <x:c r="H14" s="299"/>
      <x:c r="I14" s="3" t="s">
        <x:v>1058</x:v>
      </x:c>
      <x:c r="J14" s="3" t="s">
        <x:v>598</x:v>
      </x:c>
      <x:c r="K14" s="4">
        <x:v>551200</x:v>
      </x:c>
      <x:c r="L14" s="4">
        <x:f>INT(K14*0.1)</x:f>
        <x:v>55120</x:v>
      </x:c>
      <x:c r="M14" s="5">
        <x:f t="shared" si="1"/>
        <x:v>606320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>+D15*0.1</x:f>
        <x:v>0</x:v>
      </x:c>
      <x:c r="F15" s="45">
        <x:f>+D15+E15</x:f>
        <x:v>0</x:v>
      </x:c>
      <x:c r="G15" s="6"/>
      <x:c r="H15" s="299"/>
      <x:c r="I15" s="3" t="s">
        <x:v>1070</x:v>
      </x:c>
      <x:c r="J15" s="3" t="s">
        <x:v>826</x:v>
      </x:c>
      <x:c r="K15" s="4">
        <x:v>660000</x:v>
      </x:c>
      <x:c r="L15" s="4">
        <x:f>K15*0.1</x:f>
        <x:v>66000</x:v>
      </x:c>
      <x:c r="M15" s="5">
        <x:f t="shared" si="1"/>
        <x:v>726000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>+D16*0.1</x:f>
        <x:v>0</x:v>
      </x:c>
      <x:c r="F16" s="45">
        <x:f>+D16+E16</x:f>
        <x:v>0</x:v>
      </x:c>
      <x:c r="G16" s="6"/>
      <x:c r="H16" s="300"/>
      <x:c r="I16" s="3" t="s">
        <x:v>967</x:v>
      </x:c>
      <x:c r="J16" s="3" t="s">
        <x:v>1288</x:v>
      </x:c>
      <x:c r="K16" s="4">
        <x:v>84000</x:v>
      </x:c>
      <x:c r="L16" s="4">
        <x:f>K16*0.1</x:f>
        <x:v>8400</x:v>
      </x:c>
      <x:c r="M16" s="5">
        <x:f t="shared" si="1"/>
        <x:v>92400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7054000</x:v>
      </x:c>
      <x:c r="E17" s="9">
        <x:f>SUM(E5:E16)</x:f>
        <x:v>705400</x:v>
      </x:c>
      <x:c r="F17" s="10">
        <x:f>SUM(F5:F16)</x:f>
        <x:v>7759400</x:v>
      </x:c>
      <x:c r="G17" s="11"/>
      <x:c r="H17" s="7"/>
      <x:c r="I17" s="8"/>
      <x:c r="J17" s="8"/>
      <x:c r="K17" s="9">
        <x:f>SUM(K5:K16)</x:f>
        <x:v>11788332</x:v>
      </x:c>
      <x:c r="L17" s="9">
        <x:f>SUM(L5:L16)</x:f>
        <x:v>1178827.7</x:v>
      </x:c>
      <x:c r="M17" s="10">
        <x:f>SUM(M5:M16)</x:f>
        <x:v>12967159.699999999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22595000</x:v>
      </x:c>
      <x:c r="E18" s="44"/>
      <x:c r="F18" s="45">
        <x:f>+D18+E18</x:f>
        <x:v>22595000</x:v>
      </x:c>
      <x:c r="G18" s="37" t="s">
        <x:v>240</x:v>
      </x:c>
      <x:c r="H18" s="301" t="s">
        <x:v>153</x:v>
      </x:c>
      <x:c r="I18" s="3" t="s">
        <x:v>1677</x:v>
      </x:c>
      <x:c r="J18" s="3" t="s">
        <x:v>1083</x:v>
      </x:c>
      <x:c r="K18" s="4">
        <x:v>26670000</x:v>
      </x:c>
      <x:c r="L18" s="4"/>
      <x:c r="M18" s="5">
        <x:f t="shared" si="1"/>
        <x:v>26670000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1280</x:v>
      </x:c>
      <x:c r="D19" s="4">
        <x:v>22695000</x:v>
      </x:c>
      <x:c r="E19" s="4"/>
      <x:c r="F19" s="5">
        <x:f>+D19+E19</x:f>
        <x:v>22695000</x:v>
      </x:c>
      <x:c r="G19" s="37" t="s">
        <x:v>243</x:v>
      </x:c>
      <x:c r="H19" s="299"/>
      <x:c r="I19" s="3"/>
      <x:c r="J19" s="3"/>
      <x:c r="K19" s="4"/>
      <x:c r="L19" s="4">
        <x:f>INT(K19*0.1)</x:f>
        <x:v>0</x:v>
      </x:c>
      <x:c r="M19" s="5">
        <x:f t="shared" si="1"/>
        <x:v>0</x:v>
      </x:c>
      <x:c r="N19" s="6"/>
    </x:row>
    <x:row r="20" spans="1:14" ht="20.100000000000001" customHeight="1">
      <x:c r="A20" s="299"/>
      <x:c r="B20" s="3" t="s">
        <x:v>960</x:v>
      </x:c>
      <x:c r="C20" s="3" t="s">
        <x:v>950</x:v>
      </x:c>
      <x:c r="D20" s="4">
        <x:v>2400000</x:v>
      </x:c>
      <x:c r="E20" s="4">
        <x:f>+D20*0.1</x:f>
        <x:v>240000</x:v>
      </x:c>
      <x:c r="F20" s="5">
        <x:f>+D20+E20</x:f>
        <x:v>2640000</x:v>
      </x:c>
      <x:c r="G20" s="37"/>
      <x:c r="H20" s="299"/>
      <x:c r="I20" s="3"/>
      <x:c r="J20" s="3"/>
      <x:c r="K20" s="4"/>
      <x:c r="L20" s="4"/>
      <x:c r="M20" s="5">
        <x:f t="shared" si="1"/>
        <x:v>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47690000</x:v>
      </x:c>
      <x:c r="E22" s="9">
        <x:f>SUM(E18:E21)</x:f>
        <x:v>240000</x:v>
      </x:c>
      <x:c r="F22" s="10">
        <x:f>SUM(F18:F21)</x:f>
        <x:v>47930000</x:v>
      </x:c>
      <x:c r="G22" s="11"/>
      <x:c r="H22" s="7"/>
      <x:c r="I22" s="8"/>
      <x:c r="J22" s="8"/>
      <x:c r="K22" s="9">
        <x:f>SUM(K18:K21)</x:f>
        <x:v>26670000</x:v>
      </x:c>
      <x:c r="L22" s="9">
        <x:f>SUM(L18:L21)</x:f>
        <x:v>0</x:v>
      </x:c>
      <x:c r="M22" s="10">
        <x:f>SUM(M18:M21)</x:f>
        <x:v>26670000</x:v>
      </x:c>
      <x:c r="N22" s="11"/>
    </x:row>
    <x:row r="23" spans="1:14" ht="20.100000000000001" customHeight="1">
      <x:c r="A23" s="301" t="s">
        <x:v>187</x:v>
      </x:c>
      <x:c r="B23" s="3" t="s">
        <x:v>1321</x:v>
      </x:c>
      <x:c r="C23" s="3" t="s">
        <x:v>948</x:v>
      </x:c>
      <x:c r="D23" s="4">
        <x:v>180000</x:v>
      </x:c>
      <x:c r="E23" s="4">
        <x:f>+D23*0.1</x:f>
        <x:v>18000</x:v>
      </x:c>
      <x:c r="F23" s="5">
        <x:f>+D23+E23</x:f>
        <x:v>198000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600000</x:v>
      </x:c>
      <x:c r="L23" s="4">
        <x:f>+K23*0.1</x:f>
        <x:v>60000</x:v>
      </x:c>
      <x:c r="M23" s="5">
        <x:f>+K23+L23</x:f>
        <x:v>660000</x:v>
      </x:c>
      <x:c r="N23" s="6" t="s">
        <x:v>250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100000</x:v>
      </x:c>
      <x:c r="L24" s="4">
        <x:f>K24*0.1</x:f>
        <x:v>10000</x:v>
      </x:c>
      <x:c r="M24" s="5">
        <x:f>+K24+L24</x:f>
        <x:v>110000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 t="s">
        <x:v>1310</x:v>
      </x:c>
      <x:c r="J25" s="3" t="s">
        <x:v>603</x:v>
      </x:c>
      <x:c r="K25" s="4">
        <x:v>200000</x:v>
      </x:c>
      <x:c r="L25" s="4">
        <x:f>+K25*0.1</x:f>
        <x:v>20000</x:v>
      </x:c>
      <x:c r="M25" s="5">
        <x:f>+K25+L25</x:f>
        <x:v>220000</x:v>
      </x:c>
      <x:c r="N25" s="6" t="s">
        <x:v>1298</x:v>
      </x:c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 t="s">
        <x:v>602</x:v>
      </x:c>
      <x:c r="J26" s="3" t="s">
        <x:v>1292</x:v>
      </x:c>
      <x:c r="K26" s="4">
        <x:v>200000</x:v>
      </x:c>
      <x:c r="L26" s="4">
        <x:f>+K26*0.1</x:f>
        <x:v>20000</x:v>
      </x:c>
      <x:c r="M26" s="5">
        <x:f>+K26+L26</x:f>
        <x:v>220000</x:v>
      </x:c>
      <x:c r="N26" s="6" t="s">
        <x:v>1298</x:v>
      </x:c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180000</x:v>
      </x:c>
      <x:c r="E27" s="9">
        <x:f>SUM(E23:E26)</x:f>
        <x:v>18000</x:v>
      </x:c>
      <x:c r="F27" s="10">
        <x:f>SUM(F23:F26)</x:f>
        <x:v>198000</x:v>
      </x:c>
      <x:c r="G27" s="11"/>
      <x:c r="H27" s="7"/>
      <x:c r="I27" s="8"/>
      <x:c r="J27" s="8"/>
      <x:c r="K27" s="9">
        <x:f>SUM(K23:K26)</x:f>
        <x:v>1100000</x:v>
      </x:c>
      <x:c r="L27" s="9">
        <x:f>SUM(L23:L26)</x:f>
        <x:v>110000</x:v>
      </x:c>
      <x:c r="M27" s="10">
        <x:f>SUM(M23:M26)</x:f>
        <x:v>1210000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957950</x:v>
      </x:c>
      <x:c r="E28" s="44"/>
      <x:c r="F28" s="5">
        <x:f>+D28+E28</x:f>
        <x:v>957950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1071260</x:v>
      </x:c>
      <x:c r="L28" s="4">
        <x:v>7000</x:v>
      </x:c>
      <x:c r="M28" s="5">
        <x:f>+K28+L28</x:f>
        <x:v>1078260</x:v>
      </x:c>
      <x:c r="N28" s="6"/>
    </x:row>
    <x:row r="29" spans="1:14" ht="20.100000000000001" customHeight="1">
      <x:c r="A29" s="299"/>
      <x:c r="B29" s="3" t="s">
        <x:v>1274</x:v>
      </x:c>
      <x:c r="C29" s="3" t="s">
        <x:v>739</x:v>
      </x:c>
      <x:c r="D29" s="4">
        <x:v>576363</x:v>
      </x:c>
      <x:c r="E29" s="4">
        <x:f>+INT(D29*0.1)+1</x:f>
        <x:v>57637</x:v>
      </x:c>
      <x:c r="F29" s="5">
        <x:f>+D29+E29</x:f>
        <x:v>634000</x:v>
      </x:c>
      <x:c r="G29" s="6"/>
      <x:c r="H29" s="299"/>
      <x:c r="I29" s="3" t="s">
        <x:v>1205</x:v>
      </x:c>
      <x:c r="J29" s="3" t="s">
        <x:v>28</x:v>
      </x:c>
      <x:c r="K29" s="4">
        <x:v>605454</x:v>
      </x:c>
      <x:c r="L29" s="4">
        <x:f>+INT(K29*0.1)+1</x:f>
        <x:v>60546</x:v>
      </x:c>
      <x:c r="M29" s="5">
        <x:f>+K29+L29</x:f>
        <x:v>666000</x:v>
      </x:c>
      <x:c r="N29" s="6"/>
    </x:row>
    <x:row r="30" spans="1:14" ht="20.100000000000001" customHeight="1">
      <x:c r="A30" s="299"/>
      <x:c r="B30" s="3" t="s">
        <x:v>994</x:v>
      </x:c>
      <x:c r="C30" s="3" t="s">
        <x:v>8</x:v>
      </x:c>
      <x:c r="D30" s="4">
        <x:v>415456</x:v>
      </x:c>
      <x:c r="E30" s="4">
        <x:f>+INT(D30*0.1)-1</x:f>
        <x:v>41544</x:v>
      </x:c>
      <x:c r="F30" s="5">
        <x:f t="shared" ref="F30:F37" si="4">+D30+E30</x:f>
        <x:v>457000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>+K30+L30</x:f>
        <x:v>550000</x:v>
      </x:c>
      <x:c r="N30" s="6"/>
    </x:row>
    <x:row r="31" spans="1:14" ht="20.100000000000001" customHeight="1">
      <x:c r="A31" s="299"/>
      <x:c r="B31" s="3" t="s">
        <x:v>1680</x:v>
      </x:c>
      <x:c r="C31" s="3" t="s">
        <x:v>1695</x:v>
      </x:c>
      <x:c r="D31" s="4">
        <x:v>100000</x:v>
      </x:c>
      <x:c r="E31" s="4">
        <x:f>+INT(D31*0.1)</x:f>
        <x:v>10000</x:v>
      </x:c>
      <x:c r="F31" s="5">
        <x:f t="shared" si="4"/>
        <x:v>110000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247</x:v>
      </x:c>
      <x:c r="C32" s="3" t="s">
        <x:v>231</x:v>
      </x:c>
      <x:c r="D32" s="4">
        <x:v>22000</x:v>
      </x:c>
      <x:c r="E32" s="4">
        <x:f>+INT(D32*0.1)</x:f>
        <x:v>2200</x:v>
      </x:c>
      <x:c r="F32" s="5">
        <x:f t="shared" si="4"/>
        <x:v>24200</x:v>
      </x:c>
      <x:c r="G32" s="6"/>
      <x:c r="H32" s="299"/>
      <x:c r="I32" s="3" t="s">
        <x:v>1120</x:v>
      </x:c>
      <x:c r="J32" s="3" t="s">
        <x:v>167</x:v>
      </x:c>
      <x:c r="K32" s="4"/>
      <x:c r="L32" s="4">
        <x:f>K32*0.1</x:f>
        <x:v>0</x:v>
      </x:c>
      <x:c r="M32" s="5">
        <x:f t="shared" ref="M32:M37" si="5">+K32+L32</x:f>
        <x:v>0</x:v>
      </x:c>
      <x:c r="N32" s="6"/>
    </x:row>
    <x:row r="33" spans="1:14" ht="20.100000000000001" customHeight="1">
      <x:c r="A33" s="299"/>
      <x:c r="B33" s="3" t="s">
        <x:v>238</x:v>
      </x:c>
      <x:c r="C33" s="3" t="s">
        <x:v>405</x:v>
      </x:c>
      <x:c r="D33" s="4">
        <x:v>420000</x:v>
      </x:c>
      <x:c r="E33" s="4"/>
      <x:c r="F33" s="5">
        <x:f t="shared" si="4"/>
        <x:v>420000</x:v>
      </x:c>
      <x:c r="G33" s="146" t="s">
        <x:v>1302</x:v>
      </x:c>
      <x:c r="H33" s="299"/>
      <x:c r="I33" s="3" t="s">
        <x:v>247</x:v>
      </x:c>
      <x:c r="J33" s="3" t="s">
        <x:v>231</x:v>
      </x:c>
      <x:c r="K33" s="4">
        <x:v>21000</x:v>
      </x:c>
      <x:c r="L33" s="4">
        <x:f>+K33*0.1</x:f>
        <x:v>2100</x:v>
      </x:c>
      <x:c r="M33" s="5">
        <x:f t="shared" si="5"/>
        <x:v>23100</x:v>
      </x:c>
      <x:c r="N33" s="6"/>
    </x:row>
    <x:row r="34" spans="1:14" ht="20.100000000000001" customHeight="1">
      <x:c r="A34" s="299"/>
      <x:c r="B34" s="3" t="s">
        <x:v>1304</x:v>
      </x:c>
      <x:c r="C34" s="3" t="s">
        <x:v>167</x:v>
      </x:c>
      <x:c r="D34" s="4">
        <x:v>162000</x:v>
      </x:c>
      <x:c r="E34" s="4">
        <x:f>+INT(D34*0.1)</x:f>
        <x:v>16200</x:v>
      </x:c>
      <x:c r="F34" s="5">
        <x:f t="shared" si="4"/>
        <x:v>178200</x:v>
      </x:c>
      <x:c r="G34" s="146"/>
      <x:c r="H34" s="299"/>
      <x:c r="I34" s="3" t="s">
        <x:v>774</x:v>
      </x:c>
      <x:c r="J34" s="3" t="s">
        <x:v>1233</x:v>
      </x:c>
      <x:c r="K34" s="4">
        <x:v>2100000</x:v>
      </x:c>
      <x:c r="L34" s="4">
        <x:f>+K34*0.1</x:f>
        <x:v>210000</x:v>
      </x:c>
      <x:c r="M34" s="5">
        <x:f t="shared" si="5"/>
        <x:v>2310000</x:v>
      </x:c>
      <x:c r="N34" s="6"/>
    </x:row>
    <x:row r="35" spans="1:14" ht="20.100000000000001" customHeight="1">
      <x:c r="A35" s="299"/>
      <x:c r="B35" s="3"/>
      <x:c r="C35" s="3"/>
      <x:c r="D35" s="4"/>
      <x:c r="E35" s="4"/>
      <x:c r="F35" s="5">
        <x:f t="shared" si="4"/>
        <x:v>0</x:v>
      </x:c>
      <x:c r="G35" s="146"/>
      <x:c r="H35" s="299"/>
      <x:c r="I35" s="3"/>
      <x:c r="J35" s="3"/>
      <x:c r="K35" s="4"/>
      <x:c r="L35" s="4">
        <x:f>+K35*0.1</x:f>
        <x:v>0</x:v>
      </x:c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4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4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2653769</x:v>
      </x:c>
      <x:c r="E38" s="9">
        <x:f>SUM(E28:E37)</x:f>
        <x:v>127581</x:v>
      </x:c>
      <x:c r="F38" s="10">
        <x:f>SUM(F28:F37)</x:f>
        <x:v>2781350</x:v>
      </x:c>
      <x:c r="G38" s="11"/>
      <x:c r="H38" s="7"/>
      <x:c r="I38" s="8"/>
      <x:c r="J38" s="8"/>
      <x:c r="K38" s="9">
        <x:f>SUM(K28:K37)</x:f>
        <x:v>4397714</x:v>
      </x:c>
      <x:c r="L38" s="9">
        <x:f>SUM(L28:L37)</x:f>
        <x:v>339646</x:v>
      </x:c>
      <x:c r="M38" s="10">
        <x:f>SUM(M28:M37)</x:f>
        <x:v>4737360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57577769</x:v>
      </x:c>
      <x:c r="E39" s="14">
        <x:f>+E17+E22+E27+E38</x:f>
        <x:v>1090981</x:v>
      </x:c>
      <x:c r="F39" s="15">
        <x:f>+F17+F22+F27+F38</x:f>
        <x:v>58668750</x:v>
      </x:c>
      <x:c r="G39" s="16"/>
      <x:c r="H39" s="12"/>
      <x:c r="I39" s="13"/>
      <x:c r="J39" s="13"/>
      <x:c r="K39" s="14">
        <x:f>+K17+K22+K27+K38</x:f>
        <x:v>43956046</x:v>
      </x:c>
      <x:c r="L39" s="14">
        <x:f>+L17+L22+L27+L38</x:f>
        <x:v>1628473.7</x:v>
      </x:c>
      <x:c r="M39" s="15">
        <x:f>+M17+M22+M27+M38</x:f>
        <x:v>45584519.700000003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-28502769</x:v>
      </x:c>
      <x:c r="E40" s="25">
        <x:f>+E4-E39</x:f>
        <x:v>-165981</x:v>
      </x:c>
      <x:c r="F40" s="26">
        <x:f>+F4-F39</x:f>
        <x:v>-28668750</x:v>
      </x:c>
      <x:c r="G40" s="27"/>
      <x:c r="H40" s="23"/>
      <x:c r="I40" s="24"/>
      <x:c r="J40" s="24"/>
      <x:c r="K40" s="25">
        <x:f>+K4-K39</x:f>
        <x:v>4933954</x:v>
      </x:c>
      <x:c r="L40" s="25">
        <x:f>+L4-L39</x:f>
        <x:v>-1518473.7</x:v>
      </x:c>
      <x:c r="M40" s="26">
        <x:f>+M4-M39</x:f>
        <x:v>3415480.299999997</x:v>
      </x:c>
      <x:c r="N40" s="27"/>
    </x:row>
    <x:row r="41" spans="1:14" ht="20.100000000000001" customHeight="1">
      <x:c r="A41" s="302" t="s">
        <x:v>1021</x:v>
      </x:c>
      <x:c r="B41" s="303"/>
      <x:c r="C41" s="303"/>
      <x:c r="D41" s="303"/>
      <x:c r="E41" s="303"/>
      <x:c r="F41" s="304"/>
      <x:c r="G41" s="305"/>
      <x:c r="H41" s="302" t="s">
        <x:v>1025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61" t="s">
        <x:v>144</x:v>
      </x:c>
      <x:c r="C42" s="161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61" t="s">
        <x:v>144</x:v>
      </x:c>
      <x:c r="J42" s="161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160" t="s">
        <x:v>151</x:v>
      </x:c>
      <x:c r="B43" s="38" t="s">
        <x:v>1679</x:v>
      </x:c>
      <x:c r="C43" s="38" t="s">
        <x:v>1030</x:v>
      </x:c>
      <x:c r="D43" s="39">
        <x:v>112800815</x:v>
      </x:c>
      <x:c r="E43" s="39">
        <x:v>1199185</x:v>
      </x:c>
      <x:c r="F43" s="40">
        <x:f>+D43+E43</x:f>
        <x:v>114000000</x:v>
      </x:c>
      <x:c r="G43" s="18"/>
      <x:c r="H43" s="41" t="s">
        <x:v>151</x:v>
      </x:c>
      <x:c r="I43" s="149" t="s">
        <x:v>1679</x:v>
      </x:c>
      <x:c r="J43" s="149" t="s">
        <x:v>1030</x:v>
      </x:c>
      <x:c r="K43" s="150">
        <x:v>69392538</x:v>
      </x:c>
      <x:c r="L43" s="150">
        <x:v>607462</x:v>
      </x:c>
      <x:c r="M43" s="40">
        <x:f>+K43+L43</x:f>
        <x:v>70000000</x:v>
      </x:c>
      <x:c r="N43" s="42"/>
    </x:row>
    <x:row r="44" spans="1:14" ht="20.100000000000001" customHeight="1">
      <x:c r="A44" s="298" t="s">
        <x:v>148</x:v>
      </x:c>
      <x:c r="B44" s="19" t="s">
        <x:v>838</x:v>
      </x:c>
      <x:c r="C44" s="19"/>
      <x:c r="D44" s="20"/>
      <x:c r="E44" s="20">
        <x:f>+D44*0.1</x:f>
        <x:v>0</x:v>
      </x:c>
      <x:c r="F44" s="21">
        <x:f>+D44+E44</x:f>
        <x:v>0</x:v>
      </x:c>
      <x:c r="G44" s="22"/>
      <x:c r="H44" s="298" t="s">
        <x:v>148</x:v>
      </x:c>
      <x:c r="I44" s="147" t="s">
        <x:v>867</x:v>
      </x:c>
      <x:c r="J44" s="147" t="s">
        <x:v>1265</x:v>
      </x:c>
      <x:c r="K44" s="148">
        <x:v>72200</x:v>
      </x:c>
      <x:c r="L44" s="148">
        <x:f>K44*0.1</x:f>
        <x:v>7220</x:v>
      </x:c>
      <x:c r="M44" s="21">
        <x:f t="shared" ref="M44:M52" si="6">+K44+L44</x:f>
        <x:v>79420</x:v>
      </x:c>
      <x:c r="N44" s="22"/>
    </x:row>
    <x:row r="45" spans="1:14" ht="20.100000000000001" customHeight="1">
      <x:c r="A45" s="299"/>
      <x:c r="B45" s="3" t="s">
        <x:v>867</x:v>
      </x:c>
      <x:c r="C45" s="3" t="s">
        <x:v>384</x:v>
      </x:c>
      <x:c r="D45" s="4">
        <x:v>926400</x:v>
      </x:c>
      <x:c r="E45" s="4">
        <x:f>+D45*0.1</x:f>
        <x:v>92640</x:v>
      </x:c>
      <x:c r="F45" s="5">
        <x:f>+D45+E45</x:f>
        <x:v>1019040</x:v>
      </x:c>
      <x:c r="G45" s="6"/>
      <x:c r="H45" s="299"/>
      <x:c r="I45" s="3" t="s">
        <x:v>838</x:v>
      </x:c>
      <x:c r="J45" s="3" t="s">
        <x:v>1293</x:v>
      </x:c>
      <x:c r="K45" s="4">
        <x:v>269600</x:v>
      </x:c>
      <x:c r="L45" s="4">
        <x:f t="shared" ref="L45:L51" si="7">+K45*0.1</x:f>
        <x:v>26960</x:v>
      </x:c>
      <x:c r="M45" s="5">
        <x:f t="shared" si="6"/>
        <x:v>296560</x:v>
      </x:c>
      <x:c r="N45" s="6"/>
    </x:row>
    <x:row r="46" spans="1:14" ht="20.100000000000001" customHeight="1">
      <x:c r="A46" s="299"/>
      <x:c r="B46" s="3" t="s">
        <x:v>854</x:v>
      </x:c>
      <x:c r="C46" s="3" t="s">
        <x:v>765</x:v>
      </x:c>
      <x:c r="D46" s="4">
        <x:v>150200</x:v>
      </x:c>
      <x:c r="E46" s="4">
        <x:f>+INT(D46*0.1)</x:f>
        <x:v>15020</x:v>
      </x:c>
      <x:c r="F46" s="5">
        <x:f t="shared" ref="F46:F59" si="8">+D46+E46</x:f>
        <x:v>165220</x:v>
      </x:c>
      <x:c r="G46" s="6"/>
      <x:c r="H46" s="299"/>
      <x:c r="I46" s="3" t="s">
        <x:v>1058</x:v>
      </x:c>
      <x:c r="J46" s="3" t="s">
        <x:v>595</x:v>
      </x:c>
      <x:c r="K46" s="4">
        <x:v>71900</x:v>
      </x:c>
      <x:c r="L46" s="4">
        <x:f t="shared" si="7"/>
        <x:v>7190</x:v>
      </x:c>
      <x:c r="M46" s="5">
        <x:f t="shared" si="6"/>
        <x:v>79090</x:v>
      </x:c>
      <x:c r="N46" s="6"/>
    </x:row>
    <x:row r="47" spans="1:14" ht="20.100000000000001" customHeight="1">
      <x:c r="A47" s="299"/>
      <x:c r="B47" s="3" t="s">
        <x:v>1058</x:v>
      </x:c>
      <x:c r="C47" s="3" t="s">
        <x:v>595</x:v>
      </x:c>
      <x:c r="D47" s="4">
        <x:v>1159720</x:v>
      </x:c>
      <x:c r="E47" s="4">
        <x:f>+INT(D47*0.1)</x:f>
        <x:v>115972</x:v>
      </x:c>
      <x:c r="F47" s="5">
        <x:f t="shared" si="8"/>
        <x:v>1275692</x:v>
      </x:c>
      <x:c r="G47" s="6"/>
      <x:c r="H47" s="299"/>
      <x:c r="I47" s="3" t="s">
        <x:v>967</x:v>
      </x:c>
      <x:c r="J47" s="3"/>
      <x:c r="K47" s="4"/>
      <x:c r="L47" s="4">
        <x:f t="shared" si="7"/>
        <x:v>0</x:v>
      </x:c>
      <x:c r="M47" s="5">
        <x:f>+K47+L47</x:f>
        <x:v>0</x:v>
      </x:c>
      <x:c r="N47" s="6"/>
    </x:row>
    <x:row r="48" spans="1:14" ht="20.100000000000001" customHeight="1">
      <x:c r="A48" s="299"/>
      <x:c r="B48" s="3" t="s">
        <x:v>967</x:v>
      </x:c>
      <x:c r="C48" s="3"/>
      <x:c r="D48" s="4"/>
      <x:c r="E48" s="4">
        <x:f>+INT(D48*0.1)</x:f>
        <x:v>0</x:v>
      </x:c>
      <x:c r="F48" s="5">
        <x:f t="shared" si="8"/>
        <x:v>0</x:v>
      </x:c>
      <x:c r="G48" s="6"/>
      <x:c r="H48" s="299"/>
      <x:c r="I48" s="3" t="s">
        <x:v>854</x:v>
      </x:c>
      <x:c r="J48" s="3" t="s">
        <x:v>596</x:v>
      </x:c>
      <x:c r="K48" s="4">
        <x:v>74300</x:v>
      </x:c>
      <x:c r="L48" s="4">
        <x:f t="shared" si="7"/>
        <x:v>7430</x:v>
      </x:c>
      <x:c r="M48" s="5">
        <x:f>+K48+L48</x:f>
        <x:v>81730</x:v>
      </x:c>
      <x:c r="N48" s="6"/>
    </x:row>
    <x:row r="49" spans="1:14" ht="20.100000000000001" customHeight="1">
      <x:c r="A49" s="299"/>
      <x:c r="B49" s="3" t="s">
        <x:v>846</x:v>
      </x:c>
      <x:c r="C49" s="3" t="s">
        <x:v>1307</x:v>
      </x:c>
      <x:c r="D49" s="4">
        <x:v>425460</x:v>
      </x:c>
      <x:c r="E49" s="4">
        <x:f>+INT(D49*0.1)</x:f>
        <x:v>42546</x:v>
      </x:c>
      <x:c r="F49" s="5">
        <x:f t="shared" si="8"/>
        <x:v>468006</x:v>
      </x:c>
      <x:c r="G49" s="6"/>
      <x:c r="H49" s="299"/>
      <x:c r="I49" s="3" t="s">
        <x:v>846</x:v>
      </x:c>
      <x:c r="J49" s="3" t="s">
        <x:v>767</x:v>
      </x:c>
      <x:c r="K49" s="4">
        <x:v>445650</x:v>
      </x:c>
      <x:c r="L49" s="4">
        <x:f t="shared" si="7"/>
        <x:v>44565</x:v>
      </x:c>
      <x:c r="M49" s="5">
        <x:f>+K49+L49</x:f>
        <x:v>490215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9" si="9">+INT(D50*0.1)</x:f>
        <x:v>0</x:v>
      </x:c>
      <x:c r="F50" s="5">
        <x:f t="shared" si="8"/>
        <x:v>0</x:v>
      </x:c>
      <x:c r="G50" s="6"/>
      <x:c r="H50" s="299"/>
      <x:c r="I50" s="3"/>
      <x:c r="J50" s="3"/>
      <x:c r="K50" s="4"/>
      <x:c r="L50" s="4">
        <x:f t="shared" si="7"/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/>
      <x:c r="J51" s="3"/>
      <x:c r="K51" s="4"/>
      <x:c r="L51" s="4">
        <x:f t="shared" si="7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9"/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>
        <x:f>+INT(K52*0.1)</x:f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129"/>
      <x:c r="D53" s="130"/>
      <x:c r="E53" s="130">
        <x:f t="shared" si="9"/>
        <x:v>0</x:v>
      </x:c>
      <x:c r="F53" s="131">
        <x:f t="shared" si="8"/>
        <x:v>0</x:v>
      </x:c>
      <x:c r="G53" s="6"/>
      <x:c r="H53" s="299"/>
      <x:c r="I53" s="3"/>
      <x:c r="J53" s="3"/>
      <x:c r="K53" s="4"/>
      <x:c r="L53" s="4"/>
      <x:c r="M53" s="5"/>
      <x:c r="N53" s="6"/>
    </x:row>
    <x:row r="54" spans="1:14" ht="20.100000000000001" customHeight="1">
      <x:c r="A54" s="299"/>
      <x:c r="B54" s="3"/>
      <x:c r="C54" s="3"/>
      <x:c r="D54" s="4"/>
      <x:c r="E54" s="4">
        <x:f t="shared" si="9"/>
        <x:v>0</x:v>
      </x:c>
      <x:c r="F54" s="5">
        <x:f t="shared" si="8"/>
        <x:v>0</x:v>
      </x:c>
      <x:c r="G54" s="6"/>
      <x:c r="H54" s="299"/>
      <x:c r="I54" s="3"/>
      <x:c r="J54" s="3"/>
      <x:c r="K54" s="4"/>
      <x:c r="L54" s="4"/>
      <x:c r="M54" s="5"/>
      <x:c r="N54" s="6"/>
    </x:row>
    <x:row r="55" spans="1:14" ht="20.100000000000001" customHeight="1">
      <x:c r="A55" s="299"/>
      <x:c r="B55" s="129"/>
      <x:c r="C55" s="129"/>
      <x:c r="D55" s="130"/>
      <x:c r="E55" s="130">
        <x:f t="shared" si="9"/>
        <x:v>0</x:v>
      </x:c>
      <x:c r="F55" s="131">
        <x:f t="shared" si="8"/>
        <x:v>0</x:v>
      </x:c>
      <x:c r="G55" s="6"/>
      <x:c r="H55" s="299"/>
      <x:c r="I55" s="129"/>
      <x:c r="J55" s="129"/>
      <x:c r="K55" s="4"/>
      <x:c r="L55" s="4">
        <x:f>+K55*0.1</x:f>
        <x:v>0</x:v>
      </x:c>
      <x:c r="M55" s="5">
        <x:f>+K55+L55</x:f>
        <x:v>0</x:v>
      </x:c>
      <x:c r="N55" s="6"/>
    </x:row>
    <x:row r="56" spans="1:14" ht="20.100000000000001" customHeight="1">
      <x:c r="A56" s="299"/>
      <x:c r="B56" s="129"/>
      <x:c r="C56" s="129"/>
      <x:c r="D56" s="130"/>
      <x:c r="E56" s="130">
        <x:f t="shared" si="9"/>
        <x:v>0</x:v>
      </x:c>
      <x:c r="F56" s="131">
        <x:f t="shared" si="8"/>
        <x:v>0</x:v>
      </x:c>
      <x:c r="G56" s="132"/>
      <x:c r="H56" s="299"/>
      <x:c r="I56" s="129"/>
      <x:c r="J56" s="129"/>
      <x:c r="K56" s="130"/>
      <x:c r="L56" s="130">
        <x:f>+INT(K56*0.1)</x:f>
        <x:v>0</x:v>
      </x:c>
      <x:c r="M56" s="5">
        <x:f>+K56+L56</x:f>
        <x:v>0</x:v>
      </x:c>
      <x:c r="N56" s="6"/>
    </x:row>
    <x:row r="57" spans="1:14" ht="20.100000000000001" customHeight="1">
      <x:c r="A57" s="299"/>
      <x:c r="B57" s="129"/>
      <x:c r="C57" s="129"/>
      <x:c r="D57" s="130"/>
      <x:c r="E57" s="130">
        <x:f t="shared" si="9"/>
        <x:v>0</x:v>
      </x:c>
      <x:c r="F57" s="131">
        <x:f t="shared" si="8"/>
        <x:v>0</x:v>
      </x:c>
      <x:c r="G57" s="132"/>
      <x:c r="H57" s="299"/>
      <x:c r="I57" s="3"/>
      <x:c r="J57" s="3"/>
      <x:c r="K57" s="4"/>
      <x:c r="L57" s="4">
        <x:f>+K57*0.1</x:f>
        <x:v>0</x:v>
      </x:c>
      <x:c r="M57" s="131">
        <x:f>+K57+L57</x:f>
        <x:v>0</x:v>
      </x:c>
      <x:c r="N57" s="6"/>
    </x:row>
    <x:row r="58" spans="1:14" ht="20.100000000000001" customHeight="1">
      <x:c r="A58" s="299"/>
      <x:c r="B58" s="129"/>
      <x:c r="C58" s="129"/>
      <x:c r="D58" s="130"/>
      <x:c r="E58" s="130">
        <x:f t="shared" si="9"/>
        <x:v>0</x:v>
      </x:c>
      <x:c r="F58" s="131">
        <x:f t="shared" si="8"/>
        <x:v>0</x:v>
      </x:c>
      <x:c r="G58" s="132"/>
      <x:c r="H58" s="299"/>
      <x:c r="I58" s="3"/>
      <x:c r="J58" s="3"/>
      <x:c r="K58" s="4"/>
      <x:c r="L58" s="4">
        <x:f>+K58*0.1</x:f>
        <x:v>0</x:v>
      </x:c>
      <x:c r="M58" s="5">
        <x:f>+K58+L58</x:f>
        <x:v>0</x:v>
      </x:c>
      <x:c r="N58" s="132"/>
    </x:row>
    <x:row r="59" spans="1:14" ht="20.100000000000001" customHeight="1">
      <x:c r="A59" s="300"/>
      <x:c r="B59" s="129"/>
      <x:c r="C59" s="129"/>
      <x:c r="D59" s="130"/>
      <x:c r="E59" s="130">
        <x:f t="shared" si="9"/>
        <x:v>0</x:v>
      </x:c>
      <x:c r="F59" s="131">
        <x:f t="shared" si="8"/>
        <x:v>0</x:v>
      </x:c>
      <x:c r="G59" s="132"/>
      <x:c r="H59" s="299"/>
      <x:c r="I59" s="129"/>
      <x:c r="J59" s="129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7" t="s">
        <x:v>155</x:v>
      </x:c>
      <x:c r="B60" s="8"/>
      <x:c r="C60" s="8"/>
      <x:c r="D60" s="9">
        <x:f>SUM(D44:D59)</x:f>
        <x:v>2661780</x:v>
      </x:c>
      <x:c r="E60" s="9">
        <x:f>SUM(E44:E59)</x:f>
        <x:v>266178</x:v>
      </x:c>
      <x:c r="F60" s="10">
        <x:f>SUM(F44:F59)</x:f>
        <x:v>2927958</x:v>
      </x:c>
      <x:c r="G60" s="11"/>
      <x:c r="H60" s="7"/>
      <x:c r="I60" s="8"/>
      <x:c r="J60" s="8"/>
      <x:c r="K60" s="9">
        <x:f>SUM(K44:K59)</x:f>
        <x:v>933650</x:v>
      </x:c>
      <x:c r="L60" s="9">
        <x:f>SUM(L44:L59)</x:f>
        <x:v>93365</x:v>
      </x:c>
      <x:c r="M60" s="10">
        <x:f>SUM(M44:M59)</x:f>
        <x:v>1027015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1114</x:v>
      </x:c>
      <x:c r="D61" s="44">
        <x:v>23184000</x:v>
      </x:c>
      <x:c r="E61" s="44"/>
      <x:c r="F61" s="45">
        <x:f>+D61+E61</x:f>
        <x:v>23184000</x:v>
      </x:c>
      <x:c r="G61" s="37"/>
      <x:c r="H61" s="301" t="s">
        <x:v>153</x:v>
      </x:c>
      <x:c r="I61" s="3" t="s">
        <x:v>1677</x:v>
      </x:c>
      <x:c r="J61" s="3" t="s">
        <x:v>1129</x:v>
      </x:c>
      <x:c r="K61" s="4">
        <x:v>14280000</x:v>
      </x:c>
      <x:c r="L61" s="4"/>
      <x:c r="M61" s="5">
        <x:f>+K61+L61</x:f>
        <x:v>14280000</x:v>
      </x:c>
      <x:c r="N61" s="6"/>
    </x:row>
    <x:row r="62" spans="1:14" ht="20.100000000000001" customHeight="1">
      <x:c r="A62" s="299"/>
      <x:c r="B62" s="3"/>
      <x:c r="C62" s="3"/>
      <x:c r="D62" s="44"/>
      <x:c r="E62" s="4"/>
      <x:c r="F62" s="45">
        <x:f>+D62+E62</x:f>
        <x:v>0</x:v>
      </x:c>
      <x:c r="G62" s="37"/>
      <x:c r="H62" s="299"/>
      <x:c r="I62" s="3"/>
      <x:c r="J62" s="3"/>
      <x:c r="K62" s="4"/>
      <x:c r="L62" s="4"/>
      <x:c r="M62" s="5">
        <x:f>+K62+L62</x:f>
        <x:v>0</x:v>
      </x:c>
      <x:c r="N62" s="6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23184000</x:v>
      </x:c>
      <x:c r="E65" s="9">
        <x:f>SUM(E61:E64)</x:f>
        <x:v>0</x:v>
      </x:c>
      <x:c r="F65" s="10">
        <x:f>SUM(F61:F64)</x:f>
        <x:v>23184000</x:v>
      </x:c>
      <x:c r="G65" s="11"/>
      <x:c r="H65" s="7"/>
      <x:c r="I65" s="8"/>
      <x:c r="J65" s="8"/>
      <x:c r="K65" s="9">
        <x:f>SUM(K61:K64)</x:f>
        <x:v>14280000</x:v>
      </x:c>
      <x:c r="L65" s="9">
        <x:f>SUM(L61:L64)</x:f>
        <x:v>0</x:v>
      </x:c>
      <x:c r="M65" s="10">
        <x:f>SUM(M61:M64)</x:f>
        <x:v>14280000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1126</x:v>
      </x:c>
      <x:c r="D66" s="4">
        <x:v>300000</x:v>
      </x:c>
      <x:c r="E66" s="4">
        <x:f>+D66*0.1</x:f>
        <x:v>30000</x:v>
      </x:c>
      <x:c r="F66" s="5">
        <x:f>+D66+E66</x:f>
        <x:v>330000</x:v>
      </x:c>
      <x:c r="G66" s="6"/>
      <x:c r="H66" s="301" t="s">
        <x:v>187</x:v>
      </x:c>
      <x:c r="I66" s="3" t="s">
        <x:v>1239</x:v>
      </x:c>
      <x:c r="J66" s="3" t="s">
        <x:v>946</x:v>
      </x:c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 t="s">
        <x:v>1273</x:v>
      </x:c>
      <x:c r="C67" s="3" t="s">
        <x:v>946</x:v>
      </x:c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 t="s">
        <x:v>1168</x:v>
      </x:c>
      <x:c r="J67" s="3" t="s">
        <x:v>948</x:v>
      </x:c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299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 t="s">
        <x:v>155</x:v>
      </x:c>
      <x:c r="B70" s="8"/>
      <x:c r="C70" s="8"/>
      <x:c r="D70" s="9">
        <x:f>SUM(D66:D69)</x:f>
        <x:v>300000</x:v>
      </x:c>
      <x:c r="E70" s="9">
        <x:f>SUM(E66:E69)</x:f>
        <x:v>30000</x:v>
      </x:c>
      <x:c r="F70" s="10">
        <x:f>SUM(F66:F69)</x:f>
        <x:v>330000</x:v>
      </x:c>
      <x:c r="G70" s="11"/>
      <x:c r="H70" s="7"/>
      <x:c r="I70" s="8"/>
      <x:c r="J70" s="8"/>
      <x:c r="K70" s="9">
        <x:f>SUM(K66:K69)</x:f>
        <x:v>0</x:v>
      </x:c>
      <x:c r="L70" s="9">
        <x:f>SUM(L66:L69)</x:f>
        <x:v>0</x:v>
      </x:c>
      <x:c r="M70" s="10">
        <x:f>SUM(M66:M69)</x:f>
        <x:v>0</x:v>
      </x:c>
      <x:c r="N70" s="11"/>
    </x:row>
    <x:row r="71" spans="1:14" ht="20.100000000000001" customHeight="1">
      <x:c r="A71" s="301" t="s">
        <x:v>149</x:v>
      </x:c>
      <x:c r="B71" s="3" t="s">
        <x:v>203</x:v>
      </x:c>
      <x:c r="C71" s="3" t="s">
        <x:v>837</x:v>
      </x:c>
      <x:c r="D71" s="4">
        <x:v>621570</x:v>
      </x:c>
      <x:c r="E71" s="4"/>
      <x:c r="F71" s="5">
        <x:f t="shared" ref="F71:F80" si="10">+D71+E71</x:f>
        <x:v>621570</x:v>
      </x:c>
      <x:c r="G71" s="6"/>
      <x:c r="H71" s="301" t="s">
        <x:v>149</x:v>
      </x:c>
      <x:c r="I71" s="3" t="s">
        <x:v>158</x:v>
      </x:c>
      <x:c r="J71" s="3" t="s">
        <x:v>837</x:v>
      </x:c>
      <x:c r="K71" s="4">
        <x:v>568180</x:v>
      </x:c>
      <x:c r="L71" s="4"/>
      <x:c r="M71" s="5">
        <x:f t="shared" ref="M71:M79" si="11">+K71+L71</x:f>
        <x:v>568180</x:v>
      </x:c>
      <x:c r="N71" s="6"/>
    </x:row>
    <x:row r="72" spans="1:14" ht="20.100000000000001" customHeight="1">
      <x:c r="A72" s="299"/>
      <x:c r="B72" s="3" t="s">
        <x:v>221</x:v>
      </x:c>
      <x:c r="C72" s="3" t="s">
        <x:v>1053</x:v>
      </x:c>
      <x:c r="D72" s="4">
        <x:v>500000</x:v>
      </x:c>
      <x:c r="E72" s="4">
        <x:f>+D72*0.1</x:f>
        <x:v>50000</x:v>
      </x:c>
      <x:c r="F72" s="5">
        <x:f t="shared" si="10"/>
        <x:v>550000</x:v>
      </x:c>
      <x:c r="G72" s="6"/>
      <x:c r="H72" s="299"/>
      <x:c r="I72" s="3" t="s">
        <x:v>947</x:v>
      </x:c>
      <x:c r="J72" s="3" t="s">
        <x:v>914</x:v>
      </x:c>
      <x:c r="K72" s="4">
        <x:v>80000</x:v>
      </x:c>
      <x:c r="L72" s="4">
        <x:f t="shared" ref="L72:L79" si="12">+K72*0.1</x:f>
        <x:v>8000</x:v>
      </x:c>
      <x:c r="M72" s="5">
        <x:f t="shared" si="11"/>
        <x:v>88000</x:v>
      </x:c>
      <x:c r="N72" s="6"/>
    </x:row>
    <x:row r="73" spans="1:14" ht="20.100000000000001" customHeight="1">
      <x:c r="A73" s="299"/>
      <x:c r="B73" s="3" t="s">
        <x:v>221</x:v>
      </x:c>
      <x:c r="C73" s="3" t="s">
        <x:v>1066</x:v>
      </x:c>
      <x:c r="D73" s="4">
        <x:v>48000</x:v>
      </x:c>
      <x:c r="E73" s="4"/>
      <x:c r="F73" s="5">
        <x:f t="shared" si="10"/>
        <x:v>48000</x:v>
      </x:c>
      <x:c r="G73" s="6"/>
      <x:c r="H73" s="299"/>
      <x:c r="I73" s="3" t="s">
        <x:v>633</x:v>
      </x:c>
      <x:c r="J73" s="3" t="s">
        <x:v>962</x:v>
      </x:c>
      <x:c r="K73" s="4">
        <x:v>462000</x:v>
      </x:c>
      <x:c r="L73" s="4">
        <x:f t="shared" si="12"/>
        <x:v>46200</x:v>
      </x:c>
      <x:c r="M73" s="5">
        <x:f t="shared" si="11"/>
        <x:v>508200</x:v>
      </x:c>
      <x:c r="N73" s="6"/>
    </x:row>
    <x:row r="74" spans="1:14" ht="20.100000000000001" customHeight="1">
      <x:c r="A74" s="299"/>
      <x:c r="B74" s="3" t="s">
        <x:v>1061</x:v>
      </x:c>
      <x:c r="C74" s="3" t="s">
        <x:v>167</x:v>
      </x:c>
      <x:c r="D74" s="4">
        <x:v>117000</x:v>
      </x:c>
      <x:c r="E74" s="4">
        <x:f t="shared" ref="E74:E79" si="13">+D74*0.1</x:f>
        <x:v>11700</x:v>
      </x:c>
      <x:c r="F74" s="5">
        <x:f t="shared" si="10"/>
        <x:v>128700</x:v>
      </x:c>
      <x:c r="G74" s="6"/>
      <x:c r="H74" s="299"/>
      <x:c r="I74" s="3" t="s">
        <x:v>1049</x:v>
      </x:c>
      <x:c r="J74" s="3" t="s">
        <x:v>167</x:v>
      </x:c>
      <x:c r="K74" s="4">
        <x:v>10000</x:v>
      </x:c>
      <x:c r="L74" s="4">
        <x:f t="shared" si="12"/>
        <x:v>1000</x:v>
      </x:c>
      <x:c r="M74" s="5">
        <x:f t="shared" si="11"/>
        <x:v>11000</x:v>
      </x:c>
      <x:c r="N74" s="6"/>
    </x:row>
    <x:row r="75" spans="1:14" ht="20.100000000000001" customHeight="1">
      <x:c r="A75" s="299"/>
      <x:c r="B75" s="3" t="s">
        <x:v>1047</x:v>
      </x:c>
      <x:c r="C75" s="3" t="s">
        <x:v>962</x:v>
      </x:c>
      <x:c r="D75" s="4">
        <x:v>750000</x:v>
      </x:c>
      <x:c r="E75" s="4">
        <x:f t="shared" si="13"/>
        <x:v>75000</x:v>
      </x:c>
      <x:c r="F75" s="5">
        <x:f t="shared" si="10"/>
        <x:v>825000</x:v>
      </x:c>
      <x:c r="G75" s="6"/>
      <x:c r="H75" s="299"/>
      <x:c r="I75" s="3" t="s">
        <x:v>247</x:v>
      </x:c>
      <x:c r="J75" s="3" t="s">
        <x:v>231</x:v>
      </x:c>
      <x:c r="K75" s="4">
        <x:v>21000</x:v>
      </x:c>
      <x:c r="L75" s="4">
        <x:f t="shared" si="12"/>
        <x:v>2100</x:v>
      </x:c>
      <x:c r="M75" s="5">
        <x:f t="shared" si="11"/>
        <x:v>23100</x:v>
      </x:c>
      <x:c r="N75" s="6"/>
    </x:row>
    <x:row r="76" spans="1:14" ht="20.100000000000001" customHeight="1">
      <x:c r="A76" s="299"/>
      <x:c r="B76" s="3" t="s">
        <x:v>947</x:v>
      </x:c>
      <x:c r="C76" s="3" t="s">
        <x:v>914</x:v>
      </x:c>
      <x:c r="D76" s="4">
        <x:v>100000</x:v>
      </x:c>
      <x:c r="E76" s="4">
        <x:f t="shared" si="13"/>
        <x:v>10000</x:v>
      </x:c>
      <x:c r="F76" s="5">
        <x:f t="shared" si="10"/>
        <x:v>110000</x:v>
      </x:c>
      <x:c r="G76" s="6"/>
      <x:c r="H76" s="299"/>
      <x:c r="I76" s="3" t="s">
        <x:v>771</x:v>
      </x:c>
      <x:c r="J76" s="3" t="s">
        <x:v>811</x:v>
      </x:c>
      <x:c r="K76" s="4">
        <x:v>174500</x:v>
      </x:c>
      <x:c r="L76" s="4">
        <x:f t="shared" si="12"/>
        <x:v>17450</x:v>
      </x:c>
      <x:c r="M76" s="5">
        <x:f t="shared" si="11"/>
        <x:v>191950</x:v>
      </x:c>
      <x:c r="N76" s="6" t="s">
        <x:v>1264</x:v>
      </x:c>
    </x:row>
    <x:row r="77" spans="1:14" ht="20.100000000000001" customHeight="1">
      <x:c r="A77" s="299"/>
      <x:c r="B77" s="3" t="s">
        <x:v>247</x:v>
      </x:c>
      <x:c r="C77" s="3" t="s">
        <x:v>231</x:v>
      </x:c>
      <x:c r="D77" s="4">
        <x:v>21000</x:v>
      </x:c>
      <x:c r="E77" s="4">
        <x:f t="shared" si="13"/>
        <x:v>2100</x:v>
      </x:c>
      <x:c r="F77" s="5">
        <x:f t="shared" si="10"/>
        <x:v>23100</x:v>
      </x:c>
      <x:c r="G77" s="6"/>
      <x:c r="H77" s="299"/>
      <x:c r="I77" s="3" t="s">
        <x:v>774</x:v>
      </x:c>
      <x:c r="J77" s="3" t="s">
        <x:v>1233</x:v>
      </x:c>
      <x:c r="K77" s="4">
        <x:v>1900000</x:v>
      </x:c>
      <x:c r="L77" s="4">
        <x:f t="shared" si="12"/>
        <x:v>190000</x:v>
      </x:c>
      <x:c r="M77" s="5">
        <x:f t="shared" si="11"/>
        <x:v>2090000</x:v>
      </x:c>
      <x:c r="N77" s="6"/>
    </x:row>
    <x:row r="78" spans="1:14" ht="20.100000000000001" customHeight="1">
      <x:c r="A78" s="299"/>
      <x:c r="B78" s="3" t="s">
        <x:v>774</x:v>
      </x:c>
      <x:c r="C78" s="3" t="s">
        <x:v>1233</x:v>
      </x:c>
      <x:c r="D78" s="4">
        <x:v>2100000</x:v>
      </x:c>
      <x:c r="E78" s="4">
        <x:f t="shared" si="13"/>
        <x:v>210000</x:v>
      </x:c>
      <x:c r="F78" s="5">
        <x:f t="shared" si="10"/>
        <x:v>2310000</x:v>
      </x:c>
      <x:c r="G78" s="6"/>
      <x:c r="H78" s="299"/>
      <x:c r="I78" s="3"/>
      <x:c r="J78" s="3"/>
      <x:c r="K78" s="4"/>
      <x:c r="L78" s="4">
        <x:f t="shared" si="12"/>
        <x:v>0</x:v>
      </x:c>
      <x:c r="M78" s="5">
        <x:f t="shared" si="11"/>
        <x:v>0</x:v>
      </x:c>
      <x:c r="N78" s="6"/>
    </x:row>
    <x:row r="79" spans="1:14" ht="20.100000000000001" customHeight="1">
      <x:c r="A79" s="299"/>
      <x:c r="B79" s="3" t="s">
        <x:v>771</x:v>
      </x:c>
      <x:c r="C79" s="3" t="s">
        <x:v>797</x:v>
      </x:c>
      <x:c r="D79" s="4">
        <x:v>678000</x:v>
      </x:c>
      <x:c r="E79" s="4">
        <x:f t="shared" si="13"/>
        <x:v>67800</x:v>
      </x:c>
      <x:c r="F79" s="5">
        <x:f t="shared" si="10"/>
        <x:v>745800</x:v>
      </x:c>
      <x:c r="G79" s="6" t="s">
        <x:v>1294</x:v>
      </x:c>
      <x:c r="H79" s="299"/>
      <x:c r="I79" s="3"/>
      <x:c r="J79" s="3"/>
      <x:c r="K79" s="4"/>
      <x:c r="L79" s="4">
        <x:f t="shared" si="12"/>
        <x:v>0</x:v>
      </x:c>
      <x:c r="M79" s="5">
        <x:f t="shared" si="11"/>
        <x:v>0</x:v>
      </x:c>
      <x:c r="N79" s="6"/>
    </x:row>
    <x:row r="80" spans="1:14" ht="20.100000000000001" customHeight="1">
      <x:c r="A80" s="300"/>
      <x:c r="B80" s="3" t="s">
        <x:v>221</x:v>
      </x:c>
      <x:c r="C80" s="3" t="s">
        <x:v>599</x:v>
      </x:c>
      <x:c r="D80" s="4">
        <x:v>-5000000</x:v>
      </x:c>
      <x:c r="E80" s="4"/>
      <x:c r="F80" s="5">
        <x:f t="shared" si="10"/>
        <x:v>-5000000</x:v>
      </x:c>
      <x:c r="G80" s="6"/>
      <x:c r="H80" s="300"/>
      <x:c r="I80" s="3"/>
      <x:c r="J80" s="3"/>
      <x:c r="K80" s="4"/>
      <x:c r="L80" s="4"/>
      <x:c r="M80" s="5"/>
      <x:c r="N80" s="6"/>
    </x:row>
    <x:row r="81" spans="1:14" ht="20.100000000000001" customHeight="1">
      <x:c r="A81" s="7" t="s">
        <x:v>155</x:v>
      </x:c>
      <x:c r="B81" s="8"/>
      <x:c r="C81" s="8"/>
      <x:c r="D81" s="9">
        <x:f>SUM(D71:D80)</x:f>
        <x:v>-64430</x:v>
      </x:c>
      <x:c r="E81" s="9">
        <x:f>SUM(E71:E80)</x:f>
        <x:v>426600</x:v>
      </x:c>
      <x:c r="F81" s="10">
        <x:f>SUM(F71:F80)</x:f>
        <x:v>362170</x:v>
      </x:c>
      <x:c r="G81" s="11"/>
      <x:c r="H81" s="7"/>
      <x:c r="I81" s="8"/>
      <x:c r="J81" s="8"/>
      <x:c r="K81" s="9">
        <x:f>SUM(K71:K80)</x:f>
        <x:v>3215680</x:v>
      </x:c>
      <x:c r="L81" s="9">
        <x:f>SUM(L71:L80)</x:f>
        <x:v>264750</x:v>
      </x:c>
      <x:c r="M81" s="10">
        <x:f>SUM(M71:M80)</x:f>
        <x:v>3480430</x:v>
      </x:c>
      <x:c r="N81" s="11"/>
    </x:row>
    <x:row r="82" spans="1:14" ht="20.100000000000001" customHeight="1">
      <x:c r="A82" s="12"/>
      <x:c r="B82" s="13"/>
      <x:c r="C82" s="13"/>
      <x:c r="D82" s="14">
        <x:f>+D60+D65+D70+D81</x:f>
        <x:v>26081350</x:v>
      </x:c>
      <x:c r="E82" s="14">
        <x:f>+E60+E65+E70+E81</x:f>
        <x:v>722778</x:v>
      </x:c>
      <x:c r="F82" s="15">
        <x:f>+F60+F65+F70+F81</x:f>
        <x:v>26804128</x:v>
      </x:c>
      <x:c r="G82" s="16"/>
      <x:c r="H82" s="12" t="s">
        <x:v>1690</x:v>
      </x:c>
      <x:c r="I82" s="13"/>
      <x:c r="J82" s="13"/>
      <x:c r="K82" s="14">
        <x:f>+K60+K65+K70+K81</x:f>
        <x:v>18429330</x:v>
      </x:c>
      <x:c r="L82" s="14">
        <x:f>+L60+L65+L70+L81</x:f>
        <x:v>358115</x:v>
      </x:c>
      <x:c r="M82" s="15">
        <x:f>+M60+M65+M70+M81</x:f>
        <x:v>18787445</x:v>
      </x:c>
      <x:c r="N82" s="16"/>
    </x:row>
    <x:row r="83" spans="1:14" ht="20.100000000000001" customHeight="1">
      <x:c r="A83" s="23"/>
      <x:c r="B83" s="24"/>
      <x:c r="C83" s="24"/>
      <x:c r="D83" s="25">
        <x:f>+D43-D82</x:f>
        <x:v>86719465</x:v>
      </x:c>
      <x:c r="E83" s="25">
        <x:f>+E43-E82</x:f>
        <x:v>476407</x:v>
      </x:c>
      <x:c r="F83" s="26">
        <x:f>+F43-F82</x:f>
        <x:v>87195872</x:v>
      </x:c>
      <x:c r="G83" s="27"/>
      <x:c r="H83" s="23" t="s">
        <x:v>35</x:v>
      </x:c>
      <x:c r="I83" s="24"/>
      <x:c r="J83" s="24"/>
      <x:c r="K83" s="25">
        <x:f>+K43-K82</x:f>
        <x:v>50963208</x:v>
      </x:c>
      <x:c r="L83" s="25">
        <x:f>+L43-L82</x:f>
        <x:v>249347</x:v>
      </x:c>
      <x:c r="M83" s="26">
        <x:f>+M43-M82</x:f>
        <x:v>51212555</x:v>
      </x:c>
      <x:c r="N83" s="27"/>
    </x:row>
    <x:row r="84" spans="1:14" ht="20.100000000000001" customHeight="1">
      <x:c r="A84" s="302" t="s">
        <x:v>415</x:v>
      </x:c>
      <x:c r="B84" s="303"/>
      <x:c r="C84" s="303"/>
      <x:c r="D84" s="303"/>
      <x:c r="E84" s="303"/>
      <x:c r="F84" s="304"/>
      <x:c r="G84" s="305"/>
      <x:c r="H84" s="302" t="s">
        <x:v>789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61" t="s">
        <x:v>144</x:v>
      </x:c>
      <x:c r="C85" s="161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61" t="s">
        <x:v>144</x:v>
      </x:c>
      <x:c r="J85" s="161" t="s">
        <x:v>150</x:v>
      </x:c>
      <x:c r="K85" s="31" t="s">
        <x:v>145</x:v>
      </x:c>
      <x:c r="L85" s="31" t="s">
        <x:v>152</x:v>
      </x:c>
      <x:c r="M85" s="32" t="s">
        <x:v>146</x:v>
      </x:c>
      <x:c r="N85" s="33" t="s">
        <x:v>154</x:v>
      </x:c>
    </x:row>
    <x:row r="86" spans="1:14" ht="20.100000000000001" customHeight="1">
      <x:c r="A86" s="41" t="s">
        <x:v>151</x:v>
      </x:c>
      <x:c r="B86" s="38" t="s">
        <x:v>1679</x:v>
      </x:c>
      <x:c r="C86" s="38" t="s">
        <x:v>791</x:v>
      </x:c>
      <x:c r="D86" s="39">
        <x:v>23000000</x:v>
      </x:c>
      <x:c r="E86" s="39">
        <x:f>+D86*0.1</x:f>
        <x:v>2300000</x:v>
      </x:c>
      <x:c r="F86" s="40">
        <x:f>+D86+E86</x:f>
        <x:v>25300000</x:v>
      </x:c>
      <x:c r="G86" s="42"/>
      <x:c r="H86" s="160" t="s">
        <x:v>151</x:v>
      </x:c>
      <x:c r="I86" s="38" t="s">
        <x:v>1679</x:v>
      </x:c>
      <x:c r="J86" s="38" t="s">
        <x:v>156</x:v>
      </x:c>
      <x:c r="K86" s="39"/>
      <x:c r="L86" s="39"/>
      <x:c r="M86" s="40">
        <x:f t="shared" ref="M86:M94" si="14">+K86+L86</x:f>
        <x:v>0</x:v>
      </x:c>
      <x:c r="N86" s="18"/>
    </x:row>
    <x:row r="87" spans="1:14" ht="20.100000000000001" customHeight="1">
      <x:c r="A87" s="298" t="s">
        <x:v>148</x:v>
      </x:c>
      <x:c r="B87" s="19" t="s">
        <x:v>867</x:v>
      </x:c>
      <x:c r="C87" s="19" t="s">
        <x:v>369</x:v>
      </x:c>
      <x:c r="D87" s="20">
        <x:v>6316100</x:v>
      </x:c>
      <x:c r="E87" s="20">
        <x:f>+D87*0.1</x:f>
        <x:v>631610</x:v>
      </x:c>
      <x:c r="F87" s="21">
        <x:f t="shared" ref="F87:F92" si="15">+D87+E87</x:f>
        <x:v>6947710</x:v>
      </x:c>
      <x:c r="G87" s="22"/>
      <x:c r="H87" s="298" t="s">
        <x:v>148</x:v>
      </x:c>
      <x:c r="I87" s="54" t="s">
        <x:v>867</x:v>
      </x:c>
      <x:c r="J87" s="54" t="s">
        <x:v>1287</x:v>
      </x:c>
      <x:c r="K87" s="93">
        <x:v>2612960</x:v>
      </x:c>
      <x:c r="L87" s="93">
        <x:f>+K87*0.1</x:f>
        <x:v>261296</x:v>
      </x:c>
      <x:c r="M87" s="94">
        <x:f t="shared" si="14"/>
        <x:v>2874256</x:v>
      </x:c>
      <x:c r="N87" s="95"/>
    </x:row>
    <x:row r="88" spans="1:14" ht="20.100000000000001" customHeight="1">
      <x:c r="A88" s="299"/>
      <x:c r="B88" s="3" t="s">
        <x:v>976</x:v>
      </x:c>
      <x:c r="C88" s="3"/>
      <x:c r="D88" s="4"/>
      <x:c r="E88" s="4">
        <x:f>D88*0.1</x:f>
        <x:v>0</x:v>
      </x:c>
      <x:c r="F88" s="5">
        <x:f t="shared" si="15"/>
        <x:v>0</x:v>
      </x:c>
      <x:c r="G88" s="6"/>
      <x:c r="H88" s="299"/>
      <x:c r="I88" s="162" t="s">
        <x:v>840</x:v>
      </x:c>
      <x:c r="J88" s="162" t="s">
        <x:v>600</x:v>
      </x:c>
      <x:c r="K88" s="163">
        <x:v>1769440</x:v>
      </x:c>
      <x:c r="L88" s="163">
        <x:f>+K88*0.1</x:f>
        <x:v>176944</x:v>
      </x:c>
      <x:c r="M88" s="164">
        <x:f t="shared" si="14"/>
        <x:v>1946384</x:v>
      </x:c>
      <x:c r="N88" s="158"/>
    </x:row>
    <x:row r="89" spans="1:14" ht="20.100000000000001" customHeight="1">
      <x:c r="A89" s="299"/>
      <x:c r="B89" s="3" t="s">
        <x:v>840</x:v>
      </x:c>
      <x:c r="C89" s="3" t="s">
        <x:v>600</x:v>
      </x:c>
      <x:c r="D89" s="4">
        <x:v>3355500</x:v>
      </x:c>
      <x:c r="E89" s="4">
        <x:f t="shared" ref="E89:E95" si="16">+D89*0.1</x:f>
        <x:v>335550</x:v>
      </x:c>
      <x:c r="F89" s="5">
        <x:f t="shared" si="15"/>
        <x:v>3691050</x:v>
      </x:c>
      <x:c r="G89" s="6"/>
      <x:c r="H89" s="299"/>
      <x:c r="I89" s="3" t="s">
        <x:v>846</x:v>
      </x:c>
      <x:c r="J89" s="3" t="s">
        <x:v>1266</x:v>
      </x:c>
      <x:c r="K89" s="4">
        <x:v>3135300</x:v>
      </x:c>
      <x:c r="L89" s="4">
        <x:f>+K89*0.1</x:f>
        <x:v>313530</x:v>
      </x:c>
      <x:c r="M89" s="5">
        <x:f t="shared" si="14"/>
        <x:v>3448830</x:v>
      </x:c>
      <x:c r="N89" s="6"/>
    </x:row>
    <x:row r="90" spans="1:14" ht="20.100000000000001" customHeight="1">
      <x:c r="A90" s="299"/>
      <x:c r="B90" s="3" t="s">
        <x:v>938</x:v>
      </x:c>
      <x:c r="C90" s="3" t="s">
        <x:v>953</x:v>
      </x:c>
      <x:c r="D90" s="4">
        <x:v>661500</x:v>
      </x:c>
      <x:c r="E90" s="4">
        <x:f t="shared" si="16"/>
        <x:v>66150</x:v>
      </x:c>
      <x:c r="F90" s="5">
        <x:f t="shared" si="15"/>
        <x:v>727650</x:v>
      </x:c>
      <x:c r="G90" s="6"/>
      <x:c r="H90" s="299"/>
      <x:c r="I90" s="3" t="s">
        <x:v>938</x:v>
      </x:c>
      <x:c r="J90" s="3" t="s">
        <x:v>953</x:v>
      </x:c>
      <x:c r="K90" s="4">
        <x:v>1672000</x:v>
      </x:c>
      <x:c r="L90" s="4">
        <x:f>+K90*0.1</x:f>
        <x:v>167200</x:v>
      </x:c>
      <x:c r="M90" s="5">
        <x:f t="shared" si="14"/>
        <x:v>1839200</x:v>
      </x:c>
      <x:c r="N90" s="6"/>
    </x:row>
    <x:row r="91" spans="1:14" ht="20.100000000000001" customHeight="1">
      <x:c r="A91" s="299"/>
      <x:c r="B91" s="3" t="s">
        <x:v>846</x:v>
      </x:c>
      <x:c r="C91" s="3" t="s">
        <x:v>427</x:v>
      </x:c>
      <x:c r="D91" s="4">
        <x:v>1810990</x:v>
      </x:c>
      <x:c r="E91" s="4">
        <x:f t="shared" si="16"/>
        <x:v>181099</x:v>
      </x:c>
      <x:c r="F91" s="5">
        <x:f t="shared" si="15"/>
        <x:v>1992089</x:v>
      </x:c>
      <x:c r="G91" s="6"/>
      <x:c r="H91" s="299"/>
      <x:c r="I91" s="3"/>
      <x:c r="J91" s="3"/>
      <x:c r="K91" s="4"/>
      <x:c r="L91" s="4">
        <x:f>+INT(K91*0.1)</x:f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/>
      <x:c r="C92" s="3"/>
      <x:c r="D92" s="4"/>
      <x:c r="E92" s="4">
        <x:f t="shared" si="16"/>
        <x:v>0</x:v>
      </x:c>
      <x:c r="F92" s="5">
        <x:f t="shared" si="15"/>
        <x:v>0</x:v>
      </x:c>
      <x:c r="G92" s="6"/>
      <x:c r="H92" s="299"/>
      <x:c r="I92" s="3"/>
      <x:c r="J92" s="3"/>
      <x:c r="K92" s="4"/>
      <x:c r="L92" s="4">
        <x:f>+INT(K92*0.1)</x:f>
        <x:v>0</x:v>
      </x:c>
      <x:c r="M92" s="5">
        <x:f t="shared" si="14"/>
        <x:v>0</x:v>
      </x:c>
      <x:c r="N92" s="6"/>
    </x:row>
    <x:row r="93" spans="1:14" ht="20.100000000000001" customHeight="1">
      <x:c r="A93" s="299"/>
      <x:c r="B93" s="3"/>
      <x:c r="C93" s="3"/>
      <x:c r="D93" s="4"/>
      <x:c r="E93" s="4">
        <x:f t="shared" si="16"/>
        <x:v>0</x:v>
      </x:c>
      <x:c r="F93" s="5">
        <x:f>+D93+E93</x:f>
        <x:v>0</x:v>
      </x:c>
      <x:c r="G93" s="6"/>
      <x:c r="H93" s="299"/>
      <x:c r="I93" s="3"/>
      <x:c r="J93" s="3"/>
      <x:c r="K93" s="4"/>
      <x:c r="L93" s="4">
        <x:f>+INT(K93*0.1)</x:f>
        <x:v>0</x:v>
      </x:c>
      <x:c r="M93" s="5">
        <x:f t="shared" si="14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6"/>
        <x:v>0</x:v>
      </x:c>
      <x:c r="F94" s="5">
        <x:f>+D94+E94</x:f>
        <x:v>0</x:v>
      </x:c>
      <x:c r="G94" s="6"/>
      <x:c r="H94" s="299"/>
      <x:c r="I94" s="3"/>
      <x:c r="J94" s="3"/>
      <x:c r="K94" s="4"/>
      <x:c r="L94" s="4">
        <x:f>+INT(K94*0.1)</x:f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6"/>
        <x:v>0</x:v>
      </x:c>
      <x:c r="F95" s="5">
        <x:f>+D95+E95</x:f>
        <x:v>0</x:v>
      </x:c>
      <x:c r="G95" s="6"/>
      <x:c r="H95" s="299"/>
      <x:c r="I95" s="3"/>
      <x:c r="J95" s="3"/>
      <x:c r="K95" s="4"/>
      <x:c r="L95" s="4"/>
      <x:c r="M95" s="5"/>
      <x:c r="N95" s="6"/>
    </x:row>
    <x:row r="96" spans="1:14" ht="20.100000000000001" customHeight="1">
      <x:c r="A96" s="299"/>
      <x:c r="B96" s="3"/>
      <x:c r="C96" s="3"/>
      <x:c r="D96" s="4"/>
      <x:c r="E96" s="4"/>
      <x:c r="F96" s="5"/>
      <x:c r="G96" s="6"/>
      <x:c r="H96" s="299"/>
      <x:c r="I96" s="3"/>
      <x:c r="J96" s="3"/>
      <x:c r="K96" s="4"/>
      <x:c r="L96" s="4">
        <x:f t="shared" ref="L96:L101" si="17">+INT(K96*0.1)</x:f>
        <x:v>0</x:v>
      </x:c>
      <x:c r="M96" s="5">
        <x:f t="shared" ref="M96:M101" si="18">+K96+L96</x:f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/>
      <x:c r="F97" s="5"/>
      <x:c r="G97" s="6"/>
      <x:c r="H97" s="299"/>
      <x:c r="I97" s="3"/>
      <x:c r="J97" s="3"/>
      <x:c r="K97" s="4"/>
      <x:c r="L97" s="4">
        <x:f t="shared" si="17"/>
        <x:v>0</x:v>
      </x:c>
      <x:c r="M97" s="5">
        <x:f t="shared" si="18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>+D98*0.1</x:f>
        <x:v>0</x:v>
      </x:c>
      <x:c r="F98" s="5">
        <x:f>+D98+E98</x:f>
        <x:v>0</x:v>
      </x:c>
      <x:c r="G98" s="6"/>
      <x:c r="H98" s="299"/>
      <x:c r="I98" s="3"/>
      <x:c r="J98" s="3"/>
      <x:c r="K98" s="4"/>
      <x:c r="L98" s="4">
        <x:f t="shared" si="17"/>
        <x:v>0</x:v>
      </x:c>
      <x:c r="M98" s="5">
        <x:f t="shared" si="18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>+D99*0.1</x:f>
        <x:v>0</x:v>
      </x:c>
      <x:c r="F99" s="5">
        <x:f>+D99+E99</x:f>
        <x:v>0</x:v>
      </x:c>
      <x:c r="G99" s="6"/>
      <x:c r="H99" s="299"/>
      <x:c r="I99" s="3"/>
      <x:c r="J99" s="3"/>
      <x:c r="K99" s="4"/>
      <x:c r="L99" s="4">
        <x:f t="shared" si="17"/>
        <x:v>0</x:v>
      </x:c>
      <x:c r="M99" s="5">
        <x:f t="shared" si="18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 t="shared" si="17"/>
        <x:v>0</x:v>
      </x:c>
      <x:c r="M100" s="5">
        <x:f t="shared" si="18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299"/>
      <x:c r="I101" s="3"/>
      <x:c r="J101" s="3"/>
      <x:c r="K101" s="4"/>
      <x:c r="L101" s="4">
        <x:f t="shared" si="17"/>
        <x:v>0</x:v>
      </x:c>
      <x:c r="M101" s="5">
        <x:f t="shared" si="18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300"/>
      <x:c r="I102" s="3"/>
      <x:c r="J102" s="3"/>
      <x:c r="K102" s="4"/>
      <x:c r="L102" s="4"/>
      <x:c r="M102" s="5"/>
      <x:c r="N102" s="6"/>
    </x:row>
    <x:row r="103" spans="1:14" ht="20.100000000000001" customHeight="1">
      <x:c r="A103" s="7"/>
      <x:c r="B103" s="8"/>
      <x:c r="C103" s="8"/>
      <x:c r="D103" s="9">
        <x:f>SUM(D87:D102)</x:f>
        <x:v>12144090</x:v>
      </x:c>
      <x:c r="E103" s="9">
        <x:f>SUM(E87:E102)</x:f>
        <x:v>1214409</x:v>
      </x:c>
      <x:c r="F103" s="10">
        <x:f>SUM(F87:F102)</x:f>
        <x:v>13358499</x:v>
      </x:c>
      <x:c r="G103" s="11"/>
      <x:c r="H103" s="7" t="s">
        <x:v>155</x:v>
      </x:c>
      <x:c r="I103" s="8"/>
      <x:c r="J103" s="8"/>
      <x:c r="K103" s="9">
        <x:f>SUM(K87:K102)</x:f>
        <x:v>9189700</x:v>
      </x:c>
      <x:c r="L103" s="9">
        <x:f>SUM(L87:L102)</x:f>
        <x:v>918970</x:v>
      </x:c>
      <x:c r="M103" s="10">
        <x:f>SUM(M87:M102)</x:f>
        <x:v>10108670</x:v>
      </x:c>
      <x:c r="N103" s="11"/>
    </x:row>
    <x:row r="104" spans="1:14" ht="20.100000000000001" customHeight="1">
      <x:c r="A104" s="301" t="s">
        <x:v>153</x:v>
      </x:c>
      <x:c r="B104" s="3" t="s">
        <x:v>1677</x:v>
      </x:c>
      <x:c r="C104" s="3" t="s">
        <x:v>1096</x:v>
      </x:c>
      <x:c r="D104" s="4">
        <x:v>10080000</x:v>
      </x:c>
      <x:c r="E104" s="4"/>
      <x:c r="F104" s="5">
        <x:f>+D104+E104</x:f>
        <x:v>10080000</x:v>
      </x:c>
      <x:c r="G104" s="6"/>
      <x:c r="H104" s="301" t="s">
        <x:v>153</x:v>
      </x:c>
      <x:c r="I104" s="3" t="s">
        <x:v>1677</x:v>
      </x:c>
      <x:c r="J104" s="3" t="s">
        <x:v>1308</x:v>
      </x:c>
      <x:c r="K104" s="44">
        <x:v>14260000</x:v>
      </x:c>
      <x:c r="L104" s="44"/>
      <x:c r="M104" s="45">
        <x:f>+K104+L104</x:f>
        <x:v>14260000</x:v>
      </x:c>
      <x:c r="N104" s="37"/>
    </x:row>
    <x:row r="105" spans="1:14" ht="20.100000000000001" customHeight="1">
      <x:c r="A105" s="299"/>
      <x:c r="B105" s="3"/>
      <x:c r="C105" s="3"/>
      <x:c r="D105" s="4"/>
      <x:c r="E105" s="4"/>
      <x:c r="F105" s="5">
        <x:f>+D105+E105</x:f>
        <x:v>0</x:v>
      </x:c>
      <x:c r="G105" s="6"/>
      <x:c r="H105" s="299"/>
      <x:c r="I105" s="3" t="s">
        <x:v>960</x:v>
      </x:c>
      <x:c r="J105" s="3" t="s">
        <x:v>950</x:v>
      </x:c>
      <x:c r="K105" s="44">
        <x:v>2200000</x:v>
      </x:c>
      <x:c r="L105" s="44">
        <x:f>+K105*0.1</x:f>
        <x:v>220000</x:v>
      </x:c>
      <x:c r="M105" s="45">
        <x:f>+K105+L105</x:f>
        <x:v>2420000</x:v>
      </x:c>
      <x:c r="N105" s="37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300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0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7"/>
      <x:c r="B108" s="8"/>
      <x:c r="C108" s="8"/>
      <x:c r="D108" s="9">
        <x:f>SUM(D104:D107)</x:f>
        <x:v>10080000</x:v>
      </x:c>
      <x:c r="E108" s="9">
        <x:f>SUM(E104:E107)</x:f>
        <x:v>0</x:v>
      </x:c>
      <x:c r="F108" s="10">
        <x:f>SUM(F104:F107)</x:f>
        <x:v>10080000</x:v>
      </x:c>
      <x:c r="G108" s="11"/>
      <x:c r="H108" s="7" t="s">
        <x:v>155</x:v>
      </x:c>
      <x:c r="I108" s="8"/>
      <x:c r="J108" s="8"/>
      <x:c r="K108" s="9">
        <x:f>SUM(K104:K107)</x:f>
        <x:v>16460000</x:v>
      </x:c>
      <x:c r="L108" s="9">
        <x:f>SUM(L104:L107)</x:f>
        <x:v>220000</x:v>
      </x:c>
      <x:c r="M108" s="10">
        <x:f>SUM(M104:M107)</x:f>
        <x:v>16680000</x:v>
      </x:c>
      <x:c r="N108" s="11"/>
    </x:row>
    <x:row r="109" spans="1:14" ht="20.100000000000001" customHeight="1">
      <x:c r="A109" s="301" t="s">
        <x:v>187</x:v>
      </x:c>
      <x:c r="B109" s="3" t="s">
        <x:v>428</x:v>
      </x:c>
      <x:c r="C109" s="3" t="s">
        <x:v>157</x:v>
      </x:c>
      <x:c r="D109" s="4"/>
      <x:c r="E109" s="4">
        <x:f>+D109*0.1</x:f>
        <x:v>0</x:v>
      </x:c>
      <x:c r="F109" s="5">
        <x:f>+D109+E109</x:f>
        <x:v>0</x:v>
      </x:c>
      <x:c r="G109" s="6"/>
      <x:c r="H109" s="301" t="s">
        <x:v>187</x:v>
      </x:c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299"/>
      <x:c r="B110" s="3" t="s">
        <x:v>810</x:v>
      </x:c>
      <x:c r="C110" s="3" t="s">
        <x:v>1286</x:v>
      </x:c>
      <x:c r="D110" s="4">
        <x:v>250000</x:v>
      </x:c>
      <x:c r="E110" s="4">
        <x:f>+D110*0.1</x:f>
        <x:v>25000</x:v>
      </x:c>
      <x:c r="F110" s="5">
        <x:f>+D110+E110</x:f>
        <x:v>275000</x:v>
      </x:c>
      <x:c r="G110" s="6" t="s">
        <x:v>1285</x:v>
      </x:c>
      <x:c r="H110" s="299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300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300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7"/>
      <x:c r="B113" s="8"/>
      <x:c r="C113" s="8"/>
      <x:c r="D113" s="9">
        <x:f>SUM(D109:D112)</x:f>
        <x:v>250000</x:v>
      </x:c>
      <x:c r="E113" s="9">
        <x:f>SUM(E109:E112)</x:f>
        <x:v>25000</x:v>
      </x:c>
      <x:c r="F113" s="10">
        <x:f>SUM(F109:F112)</x:f>
        <x:v>275000</x:v>
      </x:c>
      <x:c r="G113" s="11"/>
      <x:c r="H113" s="7" t="s">
        <x:v>155</x:v>
      </x:c>
      <x:c r="I113" s="8"/>
      <x:c r="J113" s="8"/>
      <x:c r="K113" s="9">
        <x:f>SUM(K109:K112)</x:f>
        <x:v>0</x:v>
      </x:c>
      <x:c r="L113" s="9">
        <x:f>SUM(L109:L112)</x:f>
        <x:v>0</x:v>
      </x:c>
      <x:c r="M113" s="10">
        <x:f>SUM(M109:M112)</x:f>
        <x:v>0</x:v>
      </x:c>
      <x:c r="N113" s="11"/>
    </x:row>
    <x:row r="114" spans="1:14" ht="20.100000000000001" customHeight="1">
      <x:c r="A114" s="301" t="s">
        <x:v>149</x:v>
      </x:c>
      <x:c r="B114" s="3" t="s">
        <x:v>177</x:v>
      </x:c>
      <x:c r="C114" s="3" t="s">
        <x:v>149</x:v>
      </x:c>
      <x:c r="D114" s="4">
        <x:v>582160</x:v>
      </x:c>
      <x:c r="E114" s="4"/>
      <x:c r="F114" s="5">
        <x:f>+D114+E114</x:f>
        <x:v>582160</x:v>
      </x:c>
      <x:c r="G114" s="6"/>
      <x:c r="H114" s="301" t="s">
        <x:v>149</x:v>
      </x:c>
      <x:c r="I114" s="3" t="s">
        <x:v>248</x:v>
      </x:c>
      <x:c r="J114" s="3" t="s">
        <x:v>149</x:v>
      </x:c>
      <x:c r="K114" s="4">
        <x:v>96000</x:v>
      </x:c>
      <x:c r="L114" s="4"/>
      <x:c r="M114" s="5">
        <x:f>+K114+L114</x:f>
        <x:v>96000</x:v>
      </x:c>
      <x:c r="N114" s="6"/>
    </x:row>
    <x:row r="115" spans="1:14" ht="20.100000000000001" customHeight="1">
      <x:c r="A115" s="299"/>
      <x:c r="B115" s="3" t="s">
        <x:v>1275</x:v>
      </x:c>
      <x:c r="C115" s="3" t="s">
        <x:v>812</x:v>
      </x:c>
      <x:c r="D115" s="4">
        <x:v>400000</x:v>
      </x:c>
      <x:c r="E115" s="4">
        <x:f>+D115*0.1</x:f>
        <x:v>40000</x:v>
      </x:c>
      <x:c r="F115" s="5">
        <x:f>+D115+E115</x:f>
        <x:v>440000</x:v>
      </x:c>
      <x:c r="G115" s="6"/>
      <x:c r="H115" s="299"/>
      <x:c r="I115" s="3" t="s">
        <x:v>248</x:v>
      </x:c>
      <x:c r="J115" s="3" t="s">
        <x:v>1312</x:v>
      </x:c>
      <x:c r="K115" s="4">
        <x:v>639301</x:v>
      </x:c>
      <x:c r="L115" s="4">
        <x:v>64219</x:v>
      </x:c>
      <x:c r="M115" s="5">
        <x:f>+K115+L115</x:f>
        <x:v>703520</x:v>
      </x:c>
      <x:c r="N115" s="6"/>
    </x:row>
    <x:row r="116" spans="1:14" ht="20.100000000000001" customHeight="1">
      <x:c r="A116" s="299"/>
      <x:c r="B116" s="3" t="s">
        <x:v>601</x:v>
      </x:c>
      <x:c r="C116" s="3" t="s">
        <x:v>962</x:v>
      </x:c>
      <x:c r="D116" s="4">
        <x:v>255000</x:v>
      </x:c>
      <x:c r="E116" s="4">
        <x:f>+D116*0.1</x:f>
        <x:v>25500</x:v>
      </x:c>
      <x:c r="F116" s="5">
        <x:f>+D116+E116</x:f>
        <x:v>280500</x:v>
      </x:c>
      <x:c r="G116" s="6"/>
      <x:c r="H116" s="299"/>
      <x:c r="I116" s="3" t="s">
        <x:v>407</x:v>
      </x:c>
      <x:c r="J116" s="3" t="s">
        <x:v>1323</x:v>
      </x:c>
      <x:c r="K116" s="4">
        <x:v>60000</x:v>
      </x:c>
      <x:c r="L116" s="4">
        <x:f>+K116*0.1</x:f>
        <x:v>6000</x:v>
      </x:c>
      <x:c r="M116" s="5">
        <x:f>+K116+L116</x:f>
        <x:v>66000</x:v>
      </x:c>
      <x:c r="N116" s="6"/>
    </x:row>
    <x:row r="117" spans="1:14" ht="20.100000000000001" customHeight="1">
      <x:c r="A117" s="299"/>
      <x:c r="B117" s="3" t="s">
        <x:v>926</x:v>
      </x:c>
      <x:c r="C117" s="3" t="s">
        <x:v>927</x:v>
      </x:c>
      <x:c r="D117" s="4">
        <x:v>367870</x:v>
      </x:c>
      <x:c r="E117" s="4"/>
      <x:c r="F117" s="5">
        <x:f>+D117+E117</x:f>
        <x:v>367870</x:v>
      </x:c>
      <x:c r="G117" s="6"/>
      <x:c r="H117" s="299"/>
      <x:c r="I117" s="3" t="s">
        <x:v>605</x:v>
      </x:c>
      <x:c r="J117" s="3" t="s">
        <x:v>604</x:v>
      </x:c>
      <x:c r="K117" s="4">
        <x:f>18182*2</x:f>
        <x:v>36364</x:v>
      </x:c>
      <x:c r="L117" s="4">
        <x:f>1818*2</x:f>
        <x:v>3636</x:v>
      </x:c>
      <x:c r="M117" s="5">
        <x:f t="shared" ref="M117:M123" si="19">+K117+L117</x:f>
        <x:v>40000</x:v>
      </x:c>
      <x:c r="N117" s="6" t="s">
        <x:v>1099</x:v>
      </x:c>
    </x:row>
    <x:row r="118" spans="1:14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>+D118+E118</x:f>
        <x:v>0</x:v>
      </x:c>
      <x:c r="G118" s="6"/>
      <x:c r="H118" s="299"/>
      <x:c r="I118" s="3" t="s">
        <x:v>249</x:v>
      </x:c>
      <x:c r="J118" s="3" t="s">
        <x:v>597</x:v>
      </x:c>
      <x:c r="K118" s="4">
        <x:v>5000000</x:v>
      </x:c>
      <x:c r="L118" s="4"/>
      <x:c r="M118" s="5">
        <x:f>+K118+L118</x:f>
        <x:v>5000000</x:v>
      </x:c>
      <x:c r="N118" s="6" t="s">
        <x:v>1322</x:v>
      </x:c>
    </x:row>
    <x:row r="119" spans="1:14" ht="20.100000000000001" customHeight="1">
      <x:c r="A119" s="299"/>
      <x:c r="B119" s="3"/>
      <x:c r="C119" s="3"/>
      <x:c r="D119" s="4" t="s">
        <x:v>222</x:v>
      </x:c>
      <x:c r="E119" s="4"/>
      <x:c r="F119" s="5"/>
      <x:c r="G119" s="6"/>
      <x:c r="H119" s="299"/>
      <x:c r="I119" s="3" t="s">
        <x:v>249</x:v>
      </x:c>
      <x:c r="J119" s="3" t="s">
        <x:v>608</x:v>
      </x:c>
      <x:c r="K119" s="4">
        <x:v>550000</x:v>
      </x:c>
      <x:c r="L119" s="4"/>
      <x:c r="M119" s="5">
        <x:f>+K119+L119</x:f>
        <x:v>550000</x:v>
      </x:c>
      <x:c r="N119" s="6" t="s">
        <x:v>1322</x:v>
      </x:c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 t="s">
        <x:v>265</x:v>
      </x:c>
      <x:c r="J120" s="3" t="s">
        <x:v>607</x:v>
      </x:c>
      <x:c r="K120" s="4">
        <x:v>242000</x:v>
      </x:c>
      <x:c r="L120" s="4"/>
      <x:c r="M120" s="5">
        <x:f>+K120+L120</x:f>
        <x:v>242000</x:v>
      </x:c>
      <x:c r="N120" s="6" t="s">
        <x:v>1322</x:v>
      </x:c>
    </x:row>
    <x:row r="121" spans="1:14" ht="20.100000000000001" customHeight="1">
      <x:c r="A121" s="299"/>
      <x:c r="B121" s="3"/>
      <x:c r="C121" s="3"/>
      <x:c r="D121" s="4"/>
      <x:c r="E121" s="4"/>
      <x:c r="F121" s="5"/>
      <x:c r="G121" s="6"/>
      <x:c r="H121" s="299"/>
      <x:c r="I121" s="3" t="s">
        <x:v>1309</x:v>
      </x:c>
      <x:c r="J121" s="3" t="s">
        <x:v>1316</x:v>
      </x:c>
      <x:c r="K121" s="4">
        <x:v>1590000</x:v>
      </x:c>
      <x:c r="L121" s="4">
        <x:f>+K121*0.1</x:f>
        <x:v>159000</x:v>
      </x:c>
      <x:c r="M121" s="5">
        <x:f t="shared" si="19"/>
        <x:v>1749000</x:v>
      </x:c>
      <x:c r="N121" s="6" t="s">
        <x:v>1099</x:v>
      </x:c>
    </x:row>
    <x:row r="122" spans="1:14" ht="20.100000000000001" customHeight="1">
      <x:c r="A122" s="299"/>
      <x:c r="B122" s="3"/>
      <x:c r="C122" s="3"/>
      <x:c r="D122" s="4"/>
      <x:c r="E122" s="4"/>
      <x:c r="F122" s="5"/>
      <x:c r="G122" s="6"/>
      <x:c r="H122" s="299"/>
      <x:c r="I122" s="3" t="s">
        <x:v>284</x:v>
      </x:c>
      <x:c r="J122" s="3" t="s">
        <x:v>149</x:v>
      </x:c>
      <x:c r="K122" s="4">
        <x:v>7200</x:v>
      </x:c>
      <x:c r="L122" s="4"/>
      <x:c r="M122" s="5">
        <x:f t="shared" si="19"/>
        <x:v>7200</x:v>
      </x:c>
      <x:c r="N122" s="6" t="s">
        <x:v>1318</x:v>
      </x:c>
    </x:row>
    <x:row r="123" spans="1:14" ht="20.100000000000001" customHeight="1">
      <x:c r="A123" s="300"/>
      <x:c r="B123" s="3"/>
      <x:c r="C123" s="3"/>
      <x:c r="D123" s="4"/>
      <x:c r="E123" s="4"/>
      <x:c r="F123" s="5"/>
      <x:c r="G123" s="6"/>
      <x:c r="H123" s="300"/>
      <x:c r="I123" s="3"/>
      <x:c r="J123" s="3"/>
      <x:c r="K123" s="4"/>
      <x:c r="L123" s="4"/>
      <x:c r="M123" s="5">
        <x:f t="shared" si="19"/>
        <x:v>0</x:v>
      </x:c>
      <x:c r="N123" s="6"/>
    </x:row>
    <x:row r="124" spans="1:14" ht="20.100000000000001" customHeight="1">
      <x:c r="A124" s="7"/>
      <x:c r="B124" s="8"/>
      <x:c r="C124" s="8"/>
      <x:c r="D124" s="9">
        <x:f>SUM(D114:D123)</x:f>
        <x:v>1605030</x:v>
      </x:c>
      <x:c r="E124" s="9">
        <x:f>SUM(E114:E123)</x:f>
        <x:v>65500</x:v>
      </x:c>
      <x:c r="F124" s="10">
        <x:f>SUM(F114:F123)</x:f>
        <x:v>1670530</x:v>
      </x:c>
      <x:c r="G124" s="11"/>
      <x:c r="H124" s="7" t="s">
        <x:v>155</x:v>
      </x:c>
      <x:c r="I124" s="8"/>
      <x:c r="J124" s="8"/>
      <x:c r="K124" s="9">
        <x:f>SUM(K114:K123)</x:f>
        <x:v>8220865</x:v>
      </x:c>
      <x:c r="L124" s="9">
        <x:f>SUM(L114:L123)</x:f>
        <x:v>232855</x:v>
      </x:c>
      <x:c r="M124" s="10">
        <x:f>SUM(M114:M123)</x:f>
        <x:v>8453720</x:v>
      </x:c>
      <x:c r="N124" s="11"/>
    </x:row>
    <x:row r="125" spans="1:14" ht="20.100000000000001" customHeight="1">
      <x:c r="A125" s="12"/>
      <x:c r="B125" s="13"/>
      <x:c r="C125" s="13"/>
      <x:c r="D125" s="14">
        <x:f>+D103+D108+D113+D124</x:f>
        <x:v>24079120</x:v>
      </x:c>
      <x:c r="E125" s="14">
        <x:f>+E103+E108+E113+E124</x:f>
        <x:v>1304909</x:v>
      </x:c>
      <x:c r="F125" s="15">
        <x:f>+F103+F108+F113+F124</x:f>
        <x:v>25384029</x:v>
      </x:c>
      <x:c r="G125" s="16"/>
      <x:c r="H125" s="12" t="s">
        <x:v>1690</x:v>
      </x:c>
      <x:c r="I125" s="13"/>
      <x:c r="J125" s="13"/>
      <x:c r="K125" s="14">
        <x:f>+K103+K108+K113+K124</x:f>
        <x:v>33870565</x:v>
      </x:c>
      <x:c r="L125" s="14">
        <x:f>+L103+L108+L113+L124</x:f>
        <x:v>1371825</x:v>
      </x:c>
      <x:c r="M125" s="15">
        <x:f>+M103+M108+M113+M124</x:f>
        <x:v>35242390</x:v>
      </x:c>
      <x:c r="N125" s="16"/>
    </x:row>
    <x:row r="126" spans="1:14" ht="20.100000000000001" customHeight="1">
      <x:c r="A126" s="23"/>
      <x:c r="B126" s="24"/>
      <x:c r="C126" s="24"/>
      <x:c r="D126" s="25">
        <x:f>+D86-D125</x:f>
        <x:v>-1079120</x:v>
      </x:c>
      <x:c r="E126" s="25">
        <x:f>+E86-E125</x:f>
        <x:v>995091</x:v>
      </x:c>
      <x:c r="F126" s="26">
        <x:f>+F86-F125</x:f>
        <x:v>-84029</x:v>
      </x:c>
      <x:c r="G126" s="27"/>
      <x:c r="H126" s="23" t="s">
        <x:v>35</x:v>
      </x:c>
      <x:c r="I126" s="24"/>
      <x:c r="J126" s="24"/>
      <x:c r="K126" s="25">
        <x:f>+K86-K125</x:f>
        <x:v>-33870565</x:v>
      </x:c>
      <x:c r="L126" s="25">
        <x:f>+L86-L125</x:f>
        <x:v>-1371825</x:v>
      </x:c>
      <x:c r="M126" s="26">
        <x:f>+M86-M125</x:f>
        <x:v>-35242390</x:v>
      </x:c>
      <x:c r="N126" s="27"/>
    </x:row>
    <x:row r="127" spans="1:14" ht="20.100000000000001" customHeight="1">
      <x:c r="A127" s="302"/>
      <x:c r="B127" s="303"/>
      <x:c r="C127" s="303"/>
      <x:c r="D127" s="303"/>
      <x:c r="E127" s="303"/>
      <x:c r="F127" s="304"/>
      <x:c r="G127" s="305"/>
      <x:c r="H127" s="302"/>
      <x:c r="I127" s="303"/>
      <x:c r="J127" s="303"/>
      <x:c r="K127" s="303"/>
      <x:c r="L127" s="303"/>
      <x:c r="M127" s="304"/>
      <x:c r="N127" s="305"/>
    </x:row>
    <x:row r="128" spans="1:14" ht="20.100000000000001" customHeight="1">
      <x:c r="A128" s="29" t="s">
        <x:v>147</x:v>
      </x:c>
      <x:c r="B128" s="161" t="s">
        <x:v>144</x:v>
      </x:c>
      <x:c r="C128" s="161" t="s">
        <x:v>150</x:v>
      </x:c>
      <x:c r="D128" s="31" t="s">
        <x:v>145</x:v>
      </x:c>
      <x:c r="E128" s="31" t="s">
        <x:v>152</x:v>
      </x:c>
      <x:c r="F128" s="32" t="s">
        <x:v>146</x:v>
      </x:c>
      <x:c r="G128" s="33" t="s">
        <x:v>154</x:v>
      </x:c>
      <x:c r="H128" s="29" t="s">
        <x:v>147</x:v>
      </x:c>
      <x:c r="I128" s="161" t="s">
        <x:v>144</x:v>
      </x:c>
      <x:c r="J128" s="161" t="s">
        <x:v>150</x:v>
      </x:c>
      <x:c r="K128" s="31" t="s">
        <x:v>145</x:v>
      </x:c>
      <x:c r="L128" s="31" t="s">
        <x:v>152</x:v>
      </x:c>
      <x:c r="M128" s="31" t="s">
        <x:v>146</x:v>
      </x:c>
      <x:c r="N128" s="34" t="s">
        <x:v>154</x:v>
      </x:c>
    </x:row>
    <x:row r="129" spans="1:14" ht="20.100000000000001" customHeight="1">
      <x:c r="A129" s="160" t="s">
        <x:v>151</x:v>
      </x:c>
      <x:c r="B129" s="38"/>
      <x:c r="C129" s="38"/>
      <x:c r="D129" s="39"/>
      <x:c r="E129" s="39"/>
      <x:c r="F129" s="40">
        <x:f t="shared" ref="F129:F144" si="20">+D129+E129</x:f>
        <x:v>0</x:v>
      </x:c>
      <x:c r="G129" s="18"/>
      <x:c r="H129" s="41" t="s">
        <x:v>151</x:v>
      </x:c>
      <x:c r="I129" s="38"/>
      <x:c r="J129" s="38"/>
      <x:c r="K129" s="39"/>
      <x:c r="L129" s="39"/>
      <x:c r="M129" s="40">
        <x:f>+K129+L129</x:f>
        <x:v>0</x:v>
      </x:c>
      <x:c r="N129" s="42"/>
    </x:row>
    <x:row r="130" spans="1:14" ht="20.100000000000001" customHeight="1">
      <x:c r="A130" s="298" t="s">
        <x:v>148</x:v>
      </x:c>
      <x:c r="B130" s="54"/>
      <x:c r="C130" s="54"/>
      <x:c r="D130" s="93"/>
      <x:c r="E130" s="93">
        <x:f>+D130*0.1</x:f>
        <x:v>0</x:v>
      </x:c>
      <x:c r="F130" s="94">
        <x:f t="shared" si="20"/>
        <x:v>0</x:v>
      </x:c>
      <x:c r="G130" s="95"/>
      <x:c r="H130" s="298" t="s">
        <x:v>148</x:v>
      </x:c>
      <x:c r="I130" s="19"/>
      <x:c r="J130" s="19"/>
      <x:c r="K130" s="20"/>
      <x:c r="L130" s="20">
        <x:f>+K130*0.1</x:f>
        <x:v>0</x:v>
      </x:c>
      <x:c r="M130" s="21">
        <x:f t="shared" ref="M130:M145" si="21">+K130+L130</x:f>
        <x:v>0</x:v>
      </x:c>
      <x:c r="N130" s="22"/>
    </x:row>
    <x:row r="131" spans="1:14" ht="20.100000000000001" customHeight="1">
      <x:c r="A131" s="299"/>
      <x:c r="B131" s="155"/>
      <x:c r="C131" s="155"/>
      <x:c r="D131" s="156"/>
      <x:c r="E131" s="4">
        <x:f>+D131*0.1</x:f>
        <x:v>0</x:v>
      </x:c>
      <x:c r="F131" s="5">
        <x:f>+D131+E131</x:f>
        <x:v>0</x:v>
      </x:c>
      <x:c r="G131" s="158"/>
      <x:c r="H131" s="299"/>
      <x:c r="I131" s="3"/>
      <x:c r="J131" s="3"/>
      <x:c r="K131" s="4"/>
      <x:c r="L131" s="4">
        <x:f>K131*0.1</x:f>
        <x:v>0</x:v>
      </x:c>
      <x:c r="M131" s="5">
        <x:f t="shared" si="21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>+D132*0.1</x:f>
        <x:v>0</x:v>
      </x:c>
      <x:c r="F132" s="5">
        <x:f t="shared" si="20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1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>+D133*0.1</x:f>
        <x:v>0</x:v>
      </x:c>
      <x:c r="F133" s="5">
        <x:f t="shared" si="20"/>
        <x:v>0</x:v>
      </x:c>
      <x:c r="G133" s="6"/>
      <x:c r="H133" s="299"/>
      <x:c r="I133" s="3"/>
      <x:c r="J133" s="3"/>
      <x:c r="K133" s="4"/>
      <x:c r="L133" s="4">
        <x:f>+K133*0.1</x:f>
        <x:v>0</x:v>
      </x:c>
      <x:c r="M133" s="5">
        <x:f t="shared" si="21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>+INT(D134*0.1)</x:f>
        <x:v>0</x:v>
      </x:c>
      <x:c r="F134" s="5">
        <x:f t="shared" si="20"/>
        <x:v>0</x:v>
      </x:c>
      <x:c r="G134" s="6"/>
      <x:c r="H134" s="299"/>
      <x:c r="I134" s="3"/>
      <x:c r="J134" s="3"/>
      <x:c r="K134" s="4"/>
      <x:c r="L134" s="4">
        <x:f>+K134*0.1</x:f>
        <x:v>0</x:v>
      </x:c>
      <x:c r="M134" s="5">
        <x:f t="shared" si="21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ref="E135:E144" si="22">+INT(D135*0.1)</x:f>
        <x:v>0</x:v>
      </x:c>
      <x:c r="F135" s="5">
        <x:f t="shared" si="20"/>
        <x:v>0</x:v>
      </x:c>
      <x:c r="G135" s="6"/>
      <x:c r="H135" s="299"/>
      <x:c r="I135" s="3"/>
      <x:c r="J135" s="3"/>
      <x:c r="K135" s="4"/>
      <x:c r="L135" s="4">
        <x:f t="shared" ref="L135:L145" si="23">+K135*0.1</x:f>
        <x:v>0</x:v>
      </x:c>
      <x:c r="M135" s="5">
        <x:f t="shared" si="21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2"/>
        <x:v>0</x:v>
      </x:c>
      <x:c r="F136" s="5">
        <x:f t="shared" si="20"/>
        <x:v>0</x:v>
      </x:c>
      <x:c r="G136" s="6"/>
      <x:c r="H136" s="299"/>
      <x:c r="I136" s="3"/>
      <x:c r="J136" s="3"/>
      <x:c r="K136" s="4"/>
      <x:c r="L136" s="4">
        <x:f t="shared" si="23"/>
        <x:v>0</x:v>
      </x:c>
      <x:c r="M136" s="5">
        <x:f t="shared" si="21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2"/>
        <x:v>0</x:v>
      </x:c>
      <x:c r="F137" s="5">
        <x:f t="shared" si="20"/>
        <x:v>0</x:v>
      </x:c>
      <x:c r="G137" s="6"/>
      <x:c r="H137" s="299"/>
      <x:c r="I137" s="3"/>
      <x:c r="J137" s="3"/>
      <x:c r="K137" s="4"/>
      <x:c r="L137" s="4">
        <x:f t="shared" si="23"/>
        <x:v>0</x:v>
      </x:c>
      <x:c r="M137" s="5">
        <x:f t="shared" si="21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/>
      <x:c r="F138" s="5"/>
      <x:c r="G138" s="6"/>
      <x:c r="H138" s="299"/>
      <x:c r="I138" s="3"/>
      <x:c r="J138" s="3"/>
      <x:c r="K138" s="4"/>
      <x:c r="L138" s="4"/>
      <x:c r="M138" s="5"/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2"/>
        <x:v>0</x:v>
      </x:c>
      <x:c r="F139" s="5">
        <x:f t="shared" si="20"/>
        <x:v>0</x:v>
      </x:c>
      <x:c r="G139" s="6"/>
      <x:c r="H139" s="299"/>
      <x:c r="I139" s="3"/>
      <x:c r="J139" s="3"/>
      <x:c r="K139" s="4"/>
      <x:c r="L139" s="4">
        <x:f t="shared" si="23"/>
        <x:v>0</x:v>
      </x:c>
      <x:c r="M139" s="5">
        <x:f t="shared" si="21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2"/>
        <x:v>0</x:v>
      </x:c>
      <x:c r="F140" s="5">
        <x:f t="shared" si="20"/>
        <x:v>0</x:v>
      </x:c>
      <x:c r="G140" s="6"/>
      <x:c r="H140" s="299"/>
      <x:c r="I140" s="3"/>
      <x:c r="J140" s="3"/>
      <x:c r="K140" s="4"/>
      <x:c r="L140" s="4">
        <x:f t="shared" si="23"/>
        <x:v>0</x:v>
      </x:c>
      <x:c r="M140" s="5">
        <x:f t="shared" si="21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2"/>
        <x:v>0</x:v>
      </x:c>
      <x:c r="F141" s="5">
        <x:f t="shared" si="20"/>
        <x:v>0</x:v>
      </x:c>
      <x:c r="G141" s="6"/>
      <x:c r="H141" s="299"/>
      <x:c r="I141" s="3"/>
      <x:c r="J141" s="3"/>
      <x:c r="K141" s="4"/>
      <x:c r="L141" s="4">
        <x:f t="shared" si="23"/>
        <x:v>0</x:v>
      </x:c>
      <x:c r="M141" s="5">
        <x:f t="shared" si="21"/>
        <x:v>0</x:v>
      </x:c>
      <x:c r="N141" s="6"/>
    </x:row>
    <x:row r="142" spans="1:14" ht="20.100000000000001" customHeight="1">
      <x:c r="A142" s="299"/>
      <x:c r="B142" s="3"/>
      <x:c r="C142" s="3"/>
      <x:c r="D142" s="4"/>
      <x:c r="E142" s="4">
        <x:f t="shared" si="22"/>
        <x:v>0</x:v>
      </x:c>
      <x:c r="F142" s="5">
        <x:f t="shared" si="20"/>
        <x:v>0</x:v>
      </x:c>
      <x:c r="G142" s="6"/>
      <x:c r="H142" s="299"/>
      <x:c r="I142" s="3"/>
      <x:c r="J142" s="3"/>
      <x:c r="K142" s="4"/>
      <x:c r="L142" s="4">
        <x:f t="shared" si="23"/>
        <x:v>0</x:v>
      </x:c>
      <x:c r="M142" s="5">
        <x:f t="shared" si="21"/>
        <x:v>0</x:v>
      </x:c>
      <x:c r="N142" s="6"/>
    </x:row>
    <x:row r="143" spans="1:14" ht="20.100000000000001" customHeight="1">
      <x:c r="A143" s="299"/>
      <x:c r="B143" s="3"/>
      <x:c r="C143" s="3"/>
      <x:c r="D143" s="4"/>
      <x:c r="E143" s="4">
        <x:f t="shared" si="22"/>
        <x:v>0</x:v>
      </x:c>
      <x:c r="F143" s="5">
        <x:f t="shared" si="20"/>
        <x:v>0</x:v>
      </x:c>
      <x:c r="G143" s="6"/>
      <x:c r="H143" s="299"/>
      <x:c r="I143" s="3"/>
      <x:c r="J143" s="3"/>
      <x:c r="K143" s="4"/>
      <x:c r="L143" s="4">
        <x:f t="shared" si="23"/>
        <x:v>0</x:v>
      </x:c>
      <x:c r="M143" s="5">
        <x:f t="shared" si="21"/>
        <x:v>0</x:v>
      </x:c>
      <x:c r="N143" s="6"/>
    </x:row>
    <x:row r="144" spans="1:14" ht="20.100000000000001" customHeight="1">
      <x:c r="A144" s="299"/>
      <x:c r="B144" s="3"/>
      <x:c r="C144" s="3"/>
      <x:c r="D144" s="4"/>
      <x:c r="E144" s="4">
        <x:f t="shared" si="22"/>
        <x:v>0</x:v>
      </x:c>
      <x:c r="F144" s="5">
        <x:f t="shared" si="20"/>
        <x:v>0</x:v>
      </x:c>
      <x:c r="G144" s="6"/>
      <x:c r="H144" s="299"/>
      <x:c r="I144" s="3"/>
      <x:c r="J144" s="3"/>
      <x:c r="K144" s="4"/>
      <x:c r="L144" s="4">
        <x:f t="shared" si="23"/>
        <x:v>0</x:v>
      </x:c>
      <x:c r="M144" s="5">
        <x:f t="shared" si="21"/>
        <x:v>0</x:v>
      </x:c>
      <x:c r="N144" s="6"/>
    </x:row>
    <x:row r="145" spans="1:14" ht="20.100000000000001" customHeight="1">
      <x:c r="A145" s="300"/>
      <x:c r="B145" s="3"/>
      <x:c r="C145" s="3"/>
      <x:c r="D145" s="4"/>
      <x:c r="E145" s="4"/>
      <x:c r="F145" s="5"/>
      <x:c r="G145" s="6"/>
      <x:c r="H145" s="300"/>
      <x:c r="I145" s="3"/>
      <x:c r="J145" s="3"/>
      <x:c r="K145" s="4"/>
      <x:c r="L145" s="4">
        <x:f t="shared" si="23"/>
        <x:v>0</x:v>
      </x:c>
      <x:c r="M145" s="5">
        <x:f t="shared" si="21"/>
        <x:v>0</x:v>
      </x:c>
      <x:c r="N145" s="6"/>
    </x:row>
    <x:row r="146" spans="1:14" ht="20.100000000000001" customHeight="1">
      <x:c r="A146" s="7" t="s">
        <x:v>155</x:v>
      </x:c>
      <x:c r="B146" s="8"/>
      <x:c r="C146" s="8"/>
      <x:c r="D146" s="9">
        <x:f>SUM(D130:D145)</x:f>
        <x:v>0</x:v>
      </x:c>
      <x:c r="E146" s="9">
        <x:f>SUM(E130:E145)</x:f>
        <x:v>0</x:v>
      </x:c>
      <x:c r="F146" s="10">
        <x:f>SUM(F130:F145)</x:f>
        <x:v>0</x:v>
      </x:c>
      <x:c r="G146" s="11"/>
      <x:c r="H146" s="7"/>
      <x:c r="I146" s="8"/>
      <x:c r="J146" s="8"/>
      <x:c r="K146" s="9">
        <x:f>SUM(K130:K145)</x:f>
        <x:v>0</x:v>
      </x:c>
      <x:c r="L146" s="9">
        <x:f>SUM(L130:L145)</x:f>
        <x:v>0</x:v>
      </x:c>
      <x:c r="M146" s="10">
        <x:f>SUM(M130:M145)</x:f>
        <x:v>0</x:v>
      </x:c>
      <x:c r="N146" s="11"/>
    </x:row>
    <x:row r="147" spans="1:14" ht="20.100000000000001" customHeight="1">
      <x:c r="A147" s="301" t="s">
        <x:v>153</x:v>
      </x:c>
      <x:c r="B147" s="3"/>
      <x:c r="C147" s="3"/>
      <x:c r="D147" s="44"/>
      <x:c r="E147" s="44"/>
      <x:c r="F147" s="45">
        <x:f>+D147+E147</x:f>
        <x:v>0</x:v>
      </x:c>
      <x:c r="G147" s="37"/>
      <x:c r="H147" s="301" t="s">
        <x:v>153</x:v>
      </x:c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299"/>
      <x:c r="B148" s="3"/>
      <x:c r="C148" s="3"/>
      <x:c r="D148" s="44"/>
      <x:c r="E148" s="44">
        <x:f>+D148*0.1</x:f>
        <x:v>0</x:v>
      </x:c>
      <x:c r="F148" s="45">
        <x:f>+D148+E148</x:f>
        <x:v>0</x:v>
      </x:c>
      <x:c r="G148" s="37"/>
      <x:c r="H148" s="299"/>
      <x:c r="I148" s="3"/>
      <x:c r="J148" s="3"/>
      <x:c r="K148" s="4"/>
      <x:c r="L148" s="4">
        <x:f>+K148*0.1</x:f>
        <x:v>0</x:v>
      </x:c>
      <x:c r="M148" s="5">
        <x:f>+K148+L148</x:f>
        <x:v>0</x:v>
      </x:c>
      <x:c r="N148" s="6"/>
    </x:row>
    <x:row r="149" spans="1:14" ht="20.100000000000001" customHeight="1">
      <x:c r="A149" s="299"/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299"/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300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300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7" t="s">
        <x:v>155</x:v>
      </x:c>
      <x:c r="B151" s="8"/>
      <x:c r="C151" s="8"/>
      <x:c r="D151" s="9">
        <x:f>SUM(D147:D150)</x:f>
        <x:v>0</x:v>
      </x:c>
      <x:c r="E151" s="9">
        <x:f>SUM(E147:E150)</x:f>
        <x:v>0</x:v>
      </x:c>
      <x:c r="F151" s="10">
        <x:f>SUM(F147:F150)</x:f>
        <x:v>0</x:v>
      </x:c>
      <x:c r="G151" s="11"/>
      <x:c r="H151" s="7"/>
      <x:c r="I151" s="8"/>
      <x:c r="J151" s="8"/>
      <x:c r="K151" s="9">
        <x:f>SUM(K147:K150)</x:f>
        <x:v>0</x:v>
      </x:c>
      <x:c r="L151" s="9">
        <x:f>SUM(L147:L150)</x:f>
        <x:v>0</x:v>
      </x:c>
      <x:c r="M151" s="10">
        <x:f>SUM(M147:M150)</x:f>
        <x:v>0</x:v>
      </x:c>
      <x:c r="N151" s="11"/>
    </x:row>
    <x:row r="152" spans="1:14" ht="20.100000000000001" customHeight="1">
      <x:c r="A152" s="301" t="s">
        <x:v>187</x:v>
      </x:c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1" t="s">
        <x:v>187</x:v>
      </x:c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299"/>
      <x:c r="B153" s="3"/>
      <x:c r="C153" s="3"/>
      <x:c r="D153" s="4"/>
      <x:c r="E153" s="4">
        <x:f>+D153*0.1</x:f>
        <x:v>0</x:v>
      </x:c>
      <x:c r="F153" s="5">
        <x:f>+D153+E153</x:f>
        <x:v>0</x:v>
      </x:c>
      <x:c r="G153" s="6"/>
      <x:c r="H153" s="299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</x:row>
    <x:row r="154" spans="1:14" ht="20.100000000000001" customHeight="1">
      <x:c r="A154" s="299"/>
      <x:c r="B154" s="3"/>
      <x:c r="C154" s="3"/>
      <x:c r="D154" s="4"/>
      <x:c r="E154" s="4">
        <x:f>+D154*0.1</x:f>
        <x:v>0</x:v>
      </x:c>
      <x:c r="F154" s="5">
        <x:f>+D154+E154</x:f>
        <x:v>0</x:v>
      </x:c>
      <x:c r="G154" s="6"/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</x:row>
    <x:row r="155" spans="1:14" ht="20.100000000000001" customHeight="1">
      <x:c r="A155" s="300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300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</x:row>
    <x:row r="156" spans="1:14" ht="20.100000000000001" customHeight="1">
      <x:c r="A156" s="7" t="s">
        <x:v>155</x:v>
      </x:c>
      <x:c r="B156" s="8"/>
      <x:c r="C156" s="8"/>
      <x:c r="D156" s="9">
        <x:f>SUM(D152:D155)</x:f>
        <x:v>0</x:v>
      </x:c>
      <x:c r="E156" s="9">
        <x:f>SUM(E152:E155)</x:f>
        <x:v>0</x:v>
      </x:c>
      <x:c r="F156" s="10">
        <x:f>SUM(F152:F155)</x:f>
        <x:v>0</x:v>
      </x:c>
      <x:c r="G156" s="11"/>
      <x:c r="H156" s="7"/>
      <x:c r="I156" s="8"/>
      <x:c r="J156" s="8"/>
      <x:c r="K156" s="9">
        <x:f>SUM(K152:K155)</x:f>
        <x:v>0</x:v>
      </x:c>
      <x:c r="L156" s="9">
        <x:f>SUM(L152:L155)</x:f>
        <x:v>0</x:v>
      </x:c>
      <x:c r="M156" s="10">
        <x:f>SUM(M152:M155)</x:f>
        <x:v>0</x:v>
      </x:c>
      <x:c r="N156" s="11"/>
    </x:row>
    <x:row r="157" spans="1:14" ht="20.100000000000001" customHeight="1">
      <x:c r="A157" s="301" t="s">
        <x:v>149</x:v>
      </x:c>
      <x:c r="B157" s="3"/>
      <x:c r="C157" s="3"/>
      <x:c r="D157" s="4"/>
      <x:c r="E157" s="4">
        <x:f>+D157*0.1</x:f>
        <x:v>0</x:v>
      </x:c>
      <x:c r="F157" s="5">
        <x:f>+D157+E157</x:f>
        <x:v>0</x:v>
      </x:c>
      <x:c r="G157" s="6"/>
      <x:c r="H157" s="301" t="s">
        <x:v>149</x:v>
      </x:c>
      <x:c r="I157" s="3"/>
      <x:c r="J157" s="3"/>
      <x:c r="K157" s="4"/>
      <x:c r="L157" s="4"/>
      <x:c r="M157" s="5">
        <x:f t="shared" ref="M157:M164" si="24">+K157+L157</x:f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>+D158+E158</x:f>
        <x:v>0</x:v>
      </x:c>
      <x:c r="G158" s="6"/>
      <x:c r="H158" s="299"/>
      <x:c r="I158" s="3"/>
      <x:c r="J158" s="3"/>
      <x:c r="K158" s="4"/>
      <x:c r="L158" s="4">
        <x:f>+K158*0.1</x:f>
        <x:v>0</x:v>
      </x:c>
      <x:c r="M158" s="5">
        <x:f t="shared" si="24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>+D159+E159</x:f>
        <x:v>0</x:v>
      </x:c>
      <x:c r="G159" s="6"/>
      <x:c r="H159" s="299"/>
      <x:c r="I159" s="3"/>
      <x:c r="J159" s="3"/>
      <x:c r="K159" s="4"/>
      <x:c r="L159" s="4">
        <x:f>+K159*0.1</x:f>
        <x:v>0</x:v>
      </x:c>
      <x:c r="M159" s="5">
        <x:f t="shared" si="24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ref="F160:F166" si="25"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 t="shared" si="24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5"/>
        <x:v>0</x:v>
      </x:c>
      <x:c r="G161" s="6"/>
      <x:c r="H161" s="299"/>
      <x:c r="I161" s="3"/>
      <x:c r="J161" s="3"/>
      <x:c r="K161" s="4"/>
      <x:c r="L161" s="4">
        <x:f t="shared" ref="L161:L166" si="26">+K161*0.1</x:f>
        <x:v>0</x:v>
      </x:c>
      <x:c r="M161" s="5">
        <x:f t="shared" si="24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 t="shared" si="25"/>
        <x:v>0</x:v>
      </x:c>
      <x:c r="G162" s="6"/>
      <x:c r="H162" s="299"/>
      <x:c r="I162" s="3"/>
      <x:c r="J162" s="3"/>
      <x:c r="K162" s="4"/>
      <x:c r="L162" s="4">
        <x:f t="shared" si="26"/>
        <x:v>0</x:v>
      </x:c>
      <x:c r="M162" s="5">
        <x:f t="shared" si="24"/>
        <x:v>0</x:v>
      </x:c>
      <x:c r="N162" s="6"/>
    </x:row>
    <x:row r="163" spans="1:14" ht="20.100000000000001" customHeight="1">
      <x:c r="A163" s="299"/>
      <x:c r="B163" s="3"/>
      <x:c r="C163" s="3"/>
      <x:c r="D163" s="4"/>
      <x:c r="E163" s="4">
        <x:f>+D163*0.1</x:f>
        <x:v>0</x:v>
      </x:c>
      <x:c r="F163" s="5">
        <x:f t="shared" si="25"/>
        <x:v>0</x:v>
      </x:c>
      <x:c r="G163" s="6"/>
      <x:c r="H163" s="299"/>
      <x:c r="I163" s="3"/>
      <x:c r="J163" s="3"/>
      <x:c r="K163" s="4"/>
      <x:c r="L163" s="4">
        <x:f t="shared" si="26"/>
        <x:v>0</x:v>
      </x:c>
      <x:c r="M163" s="5">
        <x:f t="shared" si="24"/>
        <x:v>0</x:v>
      </x:c>
      <x:c r="N163" s="6"/>
    </x:row>
    <x:row r="164" spans="1:14" ht="20.100000000000001" customHeight="1">
      <x:c r="A164" s="299"/>
      <x:c r="B164" s="3"/>
      <x:c r="C164" s="3"/>
      <x:c r="D164" s="4"/>
      <x:c r="E164" s="4"/>
      <x:c r="F164" s="5">
        <x:f t="shared" si="25"/>
        <x:v>0</x:v>
      </x:c>
      <x:c r="G164" s="6"/>
      <x:c r="H164" s="299"/>
      <x:c r="I164" s="3"/>
      <x:c r="J164" s="3"/>
      <x:c r="K164" s="4"/>
      <x:c r="L164" s="4">
        <x:f t="shared" si="26"/>
        <x:v>0</x:v>
      </x:c>
      <x:c r="M164" s="5">
        <x:f t="shared" si="24"/>
        <x:v>0</x:v>
      </x:c>
      <x:c r="N164" s="6"/>
    </x:row>
    <x:row r="165" spans="1:14" ht="20.100000000000001" customHeight="1">
      <x:c r="A165" s="299"/>
      <x:c r="B165" s="3"/>
      <x:c r="C165" s="3"/>
      <x:c r="D165" s="4"/>
      <x:c r="E165" s="4"/>
      <x:c r="F165" s="5">
        <x:f t="shared" si="25"/>
        <x:v>0</x:v>
      </x:c>
      <x:c r="G165" s="6"/>
      <x:c r="H165" s="299"/>
      <x:c r="I165" s="3"/>
      <x:c r="J165" s="3"/>
      <x:c r="K165" s="4"/>
      <x:c r="L165" s="4">
        <x:f t="shared" si="26"/>
        <x:v>0</x:v>
      </x:c>
      <x:c r="M165" s="5"/>
      <x:c r="N165" s="6"/>
    </x:row>
    <x:row r="166" spans="1:14" ht="20.100000000000001" customHeight="1">
      <x:c r="A166" s="300"/>
      <x:c r="B166" s="3"/>
      <x:c r="C166" s="3"/>
      <x:c r="D166" s="4"/>
      <x:c r="E166" s="4"/>
      <x:c r="F166" s="5">
        <x:f t="shared" si="25"/>
        <x:v>0</x:v>
      </x:c>
      <x:c r="G166" s="6"/>
      <x:c r="H166" s="300"/>
      <x:c r="I166" s="3"/>
      <x:c r="J166" s="3"/>
      <x:c r="K166" s="4"/>
      <x:c r="L166" s="4">
        <x:f t="shared" si="26"/>
        <x:v>0</x:v>
      </x:c>
      <x:c r="M166" s="5">
        <x:f>+K166+L166</x:f>
        <x:v>0</x:v>
      </x:c>
      <x:c r="N166" s="6"/>
    </x:row>
    <x:row r="167" spans="1:14" ht="20.100000000000001" customHeight="1">
      <x:c r="A167" s="7" t="s">
        <x:v>155</x:v>
      </x:c>
      <x:c r="B167" s="8"/>
      <x:c r="C167" s="8"/>
      <x:c r="D167" s="9">
        <x:f>SUM(D157:D166)</x:f>
        <x:v>0</x:v>
      </x:c>
      <x:c r="E167" s="9">
        <x:f>SUM(E157:E166)</x:f>
        <x:v>0</x:v>
      </x:c>
      <x:c r="F167" s="10">
        <x:f>SUM(F157:F166)</x:f>
        <x:v>0</x:v>
      </x:c>
      <x:c r="G167" s="11"/>
      <x:c r="H167" s="7"/>
      <x:c r="I167" s="8"/>
      <x:c r="J167" s="8"/>
      <x:c r="K167" s="9">
        <x:f>SUM(K157:K166)</x:f>
        <x:v>0</x:v>
      </x:c>
      <x:c r="L167" s="9">
        <x:f>SUM(L157:L166)</x:f>
        <x:v>0</x:v>
      </x:c>
      <x:c r="M167" s="10">
        <x:f>SUM(M157:M166)</x:f>
        <x:v>0</x:v>
      </x:c>
      <x:c r="N167" s="11"/>
    </x:row>
    <x:row r="168" spans="1:14" ht="20.100000000000001" customHeight="1">
      <x:c r="A168" s="12" t="s">
        <x:v>1690</x:v>
      </x:c>
      <x:c r="B168" s="13"/>
      <x:c r="C168" s="13"/>
      <x:c r="D168" s="14">
        <x:f>+D146+D151+D156+D167</x:f>
        <x:v>0</x:v>
      </x:c>
      <x:c r="E168" s="14">
        <x:f>+E146+E151+E156+E167</x:f>
        <x:v>0</x:v>
      </x:c>
      <x:c r="F168" s="15">
        <x:f>+F146+F151+F156+F167</x:f>
        <x:v>0</x:v>
      </x:c>
      <x:c r="G168" s="16"/>
      <x:c r="H168" s="12"/>
      <x:c r="I168" s="13"/>
      <x:c r="J168" s="13"/>
      <x:c r="K168" s="14">
        <x:f>+K146+K151+K156+K167</x:f>
        <x:v>0</x:v>
      </x:c>
      <x:c r="L168" s="14">
        <x:f>+L146+L151+L156+L167</x:f>
        <x:v>0</x:v>
      </x:c>
      <x:c r="M168" s="15">
        <x:f>+M146+M151+M156+M167</x:f>
        <x:v>0</x:v>
      </x:c>
      <x:c r="N168" s="16"/>
    </x:row>
    <x:row r="169" spans="1:14" ht="20.100000000000001" customHeight="1">
      <x:c r="A169" s="23" t="s">
        <x:v>35</x:v>
      </x:c>
      <x:c r="B169" s="24"/>
      <x:c r="C169" s="24"/>
      <x:c r="D169" s="25">
        <x:f>+D129-D168</x:f>
        <x:v>0</x:v>
      </x:c>
      <x:c r="E169" s="25">
        <x:f>+E129-E168</x:f>
        <x:v>0</x:v>
      </x:c>
      <x:c r="F169" s="26">
        <x:f>+F129-F168</x:f>
        <x:v>0</x:v>
      </x:c>
      <x:c r="G169" s="27"/>
      <x:c r="H169" s="23"/>
      <x:c r="I169" s="24"/>
      <x:c r="J169" s="24"/>
      <x:c r="K169" s="25">
        <x:f>+K129-K168</x:f>
        <x:v>0</x:v>
      </x:c>
      <x:c r="L169" s="25">
        <x:f>+L129-L168</x:f>
        <x:v>0</x:v>
      </x:c>
      <x:c r="M169" s="26">
        <x:f>+M129-M168</x:f>
        <x:v>0</x:v>
      </x:c>
      <x:c r="N169" s="27"/>
    </x:row>
    <x:row r="172" spans="1:13">
      <x:c r="A172" s="1" t="s">
        <x:v>148</x:v>
      </x:c>
      <x:c r="D172" s="2">
        <x:f>+D17+D60+D103+D146</x:f>
        <x:v>21859870</x:v>
      </x:c>
      <x:c r="E172" s="2">
        <x:f>+E17+E60+E103+E146</x:f>
        <x:v>2185987</x:v>
      </x:c>
      <x:c r="F172" s="2">
        <x:f>+F17+F60+F103+F146</x:f>
        <x:v>24045857</x:v>
      </x:c>
      <x:c r="K172" s="2">
        <x:f>+K17+K60+K103+K146</x:f>
        <x:v>21911682</x:v>
      </x:c>
      <x:c r="L172" s="2">
        <x:f>+L17+L60+L103+L146</x:f>
        <x:v>2191162.7000000002</x:v>
      </x:c>
      <x:c r="M172" s="2">
        <x:f>+M17+M60+M103+M146</x:f>
        <x:v>24102844.699999999</x:v>
      </x:c>
    </x:row>
    <x:row r="173" spans="1:13">
      <x:c r="A173" s="1" t="s">
        <x:v>153</x:v>
      </x:c>
      <x:c r="D173" s="2">
        <x:f>+D22+D65+D108+D151</x:f>
        <x:v>80954000</x:v>
      </x:c>
      <x:c r="E173" s="2">
        <x:f>+E22+E65+E108+E151</x:f>
        <x:v>240000</x:v>
      </x:c>
      <x:c r="F173" s="2">
        <x:f>+F22+F65+F108+F151</x:f>
        <x:v>81194000</x:v>
      </x:c>
      <x:c r="K173" s="2">
        <x:f>+K22+K65+K108+K151</x:f>
        <x:v>57410000</x:v>
      </x:c>
      <x:c r="L173" s="2">
        <x:f>+L22+L65+L108+L151</x:f>
        <x:v>220000</x:v>
      </x:c>
      <x:c r="M173" s="2">
        <x:f>+M22+M65+M108+M151</x:f>
        <x:v>57630000</x:v>
      </x:c>
    </x:row>
    <x:row r="174" spans="1:13" s="2" customFormat="1">
      <x:c r="A174" s="1" t="s">
        <x:v>187</x:v>
      </x:c>
      <x:c r="B174" s="1"/>
      <x:c r="C174" s="1"/>
      <x:c r="D174" s="2">
        <x:f>+D27+D70+D113+D156</x:f>
        <x:v>730000</x:v>
      </x:c>
      <x:c r="E174" s="2">
        <x:f>+E27+E70+E113+E156</x:f>
        <x:v>73000</x:v>
      </x:c>
      <x:c r="F174" s="2">
        <x:f>+F27+F70+F113+F156</x:f>
        <x:v>803000</x:v>
      </x:c>
      <x:c r="H174" s="1"/>
      <x:c r="I174" s="1"/>
      <x:c r="J174" s="1"/>
      <x:c r="K174" s="2">
        <x:f>+K27+K70+K113+K156</x:f>
        <x:v>1100000</x:v>
      </x:c>
      <x:c r="L174" s="2">
        <x:f>+L27+L70+L113+L156</x:f>
        <x:v>110000</x:v>
      </x:c>
      <x:c r="M174" s="2">
        <x:f>+M27+M70+M113+M156</x:f>
        <x:v>1210000</x:v>
      </x:c>
    </x:row>
    <x:row r="175" spans="1:13" s="2" customFormat="1">
      <x:c r="A175" s="1" t="s">
        <x:v>149</x:v>
      </x:c>
      <x:c r="B175" s="1"/>
      <x:c r="C175" s="1"/>
      <x:c r="D175" s="2">
        <x:f>+D38+D81+D124+D167</x:f>
        <x:v>4194369</x:v>
      </x:c>
      <x:c r="E175" s="2">
        <x:f>+E38+E81+E124+E167</x:f>
        <x:v>619681</x:v>
      </x:c>
      <x:c r="F175" s="2">
        <x:f>+F38+F81+F124+F167</x:f>
        <x:v>4814050</x:v>
      </x:c>
      <x:c r="H175" s="1"/>
      <x:c r="I175" s="1"/>
      <x:c r="J175" s="1"/>
      <x:c r="K175" s="2">
        <x:f>+K38+K81+K124+K167</x:f>
        <x:v>15834259</x:v>
      </x:c>
      <x:c r="L175" s="2">
        <x:f>+L38+L81+L124+L167</x:f>
        <x:v>837251</x:v>
      </x:c>
      <x:c r="M175" s="2">
        <x:f>+M38+M81+M124+M167</x:f>
        <x:v>16671510</x:v>
      </x:c>
    </x:row>
    <x:row r="176" spans="1:13" s="2" customFormat="1">
      <x:c r="A176" s="1" t="s">
        <x:v>202</x:v>
      </x:c>
      <x:c r="B176" s="1"/>
      <x:c r="C176" s="1"/>
      <x:c r="D176" s="2">
        <x:f>SUM(D172:D175)</x:f>
        <x:v>107738239</x:v>
      </x:c>
      <x:c r="E176" s="2">
        <x:f>SUM(E172:E175)</x:f>
        <x:v>3118668</x:v>
      </x:c>
      <x:c r="F176" s="2">
        <x:f>SUM(F172:F175)</x:f>
        <x:v>110856907</x:v>
      </x:c>
      <x:c r="H176" s="1"/>
      <x:c r="I176" s="1"/>
      <x:c r="J176" s="1"/>
      <x:c r="K176" s="2">
        <x:f>SUM(K172:K175)</x:f>
        <x:v>96255941</x:v>
      </x:c>
      <x:c r="L176" s="2">
        <x:f>SUM(L172:L175)</x:f>
        <x:v>3358413.7000000002</x:v>
      </x:c>
      <x:c r="M176" s="2">
        <x:f>SUM(M172:M175)</x:f>
        <x:v>99614354.700000003</x:v>
      </x:c>
    </x:row>
    <x:row r="179" spans="1:10" s="2" customFormat="1">
      <x:c r="A179" s="1" t="s">
        <x:v>148</x:v>
      </x:c>
      <x:c r="B179" s="1"/>
      <x:c r="C179" s="1"/>
      <x:c r="D179" s="2">
        <x:f>+D172+K172</x:f>
        <x:v>43771552</x:v>
      </x:c>
      <x:c r="E179" s="2">
        <x:f>+E172+L172</x:f>
        <x:v>4377149.7000000002</x:v>
      </x:c>
      <x:c r="F179" s="2">
        <x:f>+F172+M172</x:f>
        <x:v>48148701.700000003</x:v>
      </x:c>
      <x:c r="H179" s="1"/>
      <x:c r="I179" s="1"/>
      <x:c r="J179" s="1"/>
    </x:row>
    <x:row r="180" spans="1:10" s="2" customFormat="1">
      <x:c r="A180" s="1" t="s">
        <x:v>153</x:v>
      </x:c>
      <x:c r="B180" s="1"/>
      <x:c r="C180" s="1"/>
      <x:c r="D180" s="2">
        <x:f t="shared" ref="D180:F182" si="27">+D173+K173</x:f>
        <x:v>138364000</x:v>
      </x:c>
      <x:c r="E180" s="2">
        <x:f t="shared" si="27"/>
        <x:v>460000</x:v>
      </x:c>
      <x:c r="F180" s="2">
        <x:f t="shared" si="27"/>
        <x:v>138824000</x:v>
      </x:c>
      <x:c r="H180" s="1"/>
      <x:c r="I180" s="1"/>
      <x:c r="J180" s="1"/>
    </x:row>
    <x:row r="181" spans="1:10" s="2" customFormat="1">
      <x:c r="A181" s="1" t="s">
        <x:v>187</x:v>
      </x:c>
      <x:c r="B181" s="1"/>
      <x:c r="C181" s="1"/>
      <x:c r="D181" s="2">
        <x:f t="shared" si="27"/>
        <x:v>1830000</x:v>
      </x:c>
      <x:c r="E181" s="2">
        <x:f t="shared" si="27"/>
        <x:v>183000</x:v>
      </x:c>
      <x:c r="F181" s="2">
        <x:f t="shared" si="27"/>
        <x:v>2013000</x:v>
      </x:c>
      <x:c r="H181" s="1"/>
      <x:c r="I181" s="1"/>
      <x:c r="J181" s="1"/>
    </x:row>
    <x:row r="182" spans="1:10" s="2" customFormat="1">
      <x:c r="A182" s="1" t="s">
        <x:v>149</x:v>
      </x:c>
      <x:c r="B182" s="1"/>
      <x:c r="C182" s="1"/>
      <x:c r="D182" s="2">
        <x:f t="shared" si="27"/>
        <x:v>20028628</x:v>
      </x:c>
      <x:c r="E182" s="2">
        <x:f t="shared" si="27"/>
        <x:v>1456932</x:v>
      </x:c>
      <x:c r="F182" s="2">
        <x:f t="shared" si="27"/>
        <x:v>21485560</x:v>
      </x:c>
      <x:c r="H182" s="1"/>
      <x:c r="I182" s="1"/>
      <x:c r="J182" s="1"/>
    </x:row>
    <x:row r="183" spans="1:10" s="2" customFormat="1">
      <x:c r="A183" s="1" t="s">
        <x:v>1019</x:v>
      </x:c>
      <x:c r="B183" s="1"/>
      <x:c r="C183" s="1"/>
      <x:c r="D183" s="2">
        <x:f>SUM(D179:D182)</x:f>
        <x:v>203994180</x:v>
      </x:c>
      <x:c r="E183" s="2">
        <x:f>SUM(E179:E182)</x:f>
        <x:v>6477081.7000000002</x:v>
      </x:c>
      <x:c r="F183" s="2">
        <x:f>SUM(F179:F182)</x:f>
        <x:v>210471261.69999999</x:v>
      </x:c>
      <x:c r="H183" s="1"/>
      <x:c r="I183" s="1"/>
      <x:c r="J183" s="1"/>
    </x:row>
    <x:row r="184" spans="1:10" s="2" customFormat="1">
      <x:c r="A184" s="1" t="s">
        <x:v>151</x:v>
      </x:c>
      <x:c r="B184" s="1"/>
      <x:c r="C184" s="1"/>
      <x:c r="D184" s="2">
        <x:f>D4+D43+D86+K4+K43+K86+D129+K129</x:f>
        <x:v>283158353</x:v>
      </x:c>
      <x:c r="E184" s="2">
        <x:f>E4+E43+E86+L4+L43+L86</x:f>
        <x:v>5141647</x:v>
      </x:c>
      <x:c r="F184" s="2">
        <x:f>F4+F43+F86+M4+M43+M86</x:f>
        <x:v>288300000</x:v>
      </x:c>
      <x:c r="H184" s="1"/>
      <x:c r="I184" s="1"/>
      <x:c r="J184" s="1"/>
    </x:row>
    <x:row r="185" spans="1:10" s="2" customFormat="1">
      <x:c r="A185" s="1" t="s">
        <x:v>632</x:v>
      </x:c>
      <x:c r="B185" s="1"/>
      <x:c r="C185" s="1"/>
      <x:c r="D185" s="2">
        <x:f>+D184-D183</x:f>
        <x:v>79164173</x:v>
      </x:c>
      <x:c r="E185" s="2">
        <x:f>+E184-E183</x:f>
        <x:v>-1335434.7000000002</x:v>
      </x:c>
      <x:c r="F185" s="2">
        <x:f>+F184-F183</x:f>
        <x:v>77828738.300000012</x:v>
      </x:c>
      <x:c r="H185" s="1"/>
      <x:c r="I185" s="1"/>
      <x:c r="J185" s="1"/>
    </x:row>
  </x:sheetData>
  <x:mergeCells count="41">
    <x:mergeCell ref="A18:A21"/>
    <x:mergeCell ref="H18:H21"/>
    <x:mergeCell ref="A1:N1"/>
    <x:mergeCell ref="A2:G2"/>
    <x:mergeCell ref="H2:N2"/>
    <x:mergeCell ref="A5:A16"/>
    <x:mergeCell ref="H5:H16"/>
    <x:mergeCell ref="A23:A26"/>
    <x:mergeCell ref="H23:H26"/>
    <x:mergeCell ref="A28:A37"/>
    <x:mergeCell ref="H28:H37"/>
    <x:mergeCell ref="A41:G41"/>
    <x:mergeCell ref="H41:N41"/>
    <x:mergeCell ref="A44:A59"/>
    <x:mergeCell ref="H44:H59"/>
    <x:mergeCell ref="A61:A64"/>
    <x:mergeCell ref="H61:H64"/>
    <x:mergeCell ref="A66:A69"/>
    <x:mergeCell ref="H66:H69"/>
    <x:mergeCell ref="A71:A80"/>
    <x:mergeCell ref="H71:H80"/>
    <x:mergeCell ref="A84:G84"/>
    <x:mergeCell ref="H84:N84"/>
    <x:mergeCell ref="A87:A102"/>
    <x:mergeCell ref="H87:H102"/>
    <x:mergeCell ref="A104:A107"/>
    <x:mergeCell ref="H104:H107"/>
    <x:mergeCell ref="A109:A112"/>
    <x:mergeCell ref="H109:H112"/>
    <x:mergeCell ref="A114:A123"/>
    <x:mergeCell ref="H114:H123"/>
    <x:mergeCell ref="A152:A155"/>
    <x:mergeCell ref="H152:H155"/>
    <x:mergeCell ref="A157:A166"/>
    <x:mergeCell ref="H157:H166"/>
    <x:mergeCell ref="A127:G127"/>
    <x:mergeCell ref="H127:N127"/>
    <x:mergeCell ref="A130:A145"/>
    <x:mergeCell ref="H130:H145"/>
    <x:mergeCell ref="A147:A150"/>
    <x:mergeCell ref="H147:H150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0" min="0" max="1048575" man="1" pt="0"/>
    <x:brk id="83" min="0" max="1048575" man="1" pt="0"/>
    <x:brk id="126" min="0" max="1048575" man="1" pt="0"/>
  </x:rowBreaks>
  <x:legacyDrawing r:id="rId1"/>
</x:worksheet>
</file>

<file path=xl/worksheets/sheet4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9"/>
  <x:dimension ref="A1:S113"/>
  <x:sheetViews>
    <x:sheetView view="pageBreakPreview" topLeftCell="A1" zoomScaleNormal="100" zoomScaleSheetLayoutView="100" workbookViewId="0">
      <x:selection activeCell="H5" activeCellId="0" sqref="H5:H16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70"/>
      <x:c r="C2" s="170"/>
      <x:c r="D2" s="170"/>
      <x:c r="E2" s="170"/>
      <x:c r="F2" s="170"/>
      <x:c r="G2" s="170"/>
      <x:c r="H2" s="170"/>
      <x:c r="I2" s="170"/>
      <x:c r="J2" s="170"/>
      <x:c r="K2" s="170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72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'21년02월(세부내역)'!D4</x:f>
        <x:v>38772000</x:v>
      </x:c>
      <x:c r="F5" s="67">
        <x:f>'21년02월(세부내역)'!D17</x:f>
        <x:v>1181700</x:v>
      </x:c>
      <x:c r="G5" s="67">
        <x:f>'21년02월(세부내역)'!D22</x:f>
        <x:v>43675000</x:v>
      </x:c>
      <x:c r="H5" s="67">
        <x:f>'21년02월(세부내역)'!D27</x:f>
        <x:v>0</x:v>
      </x:c>
      <x:c r="I5" s="67">
        <x:f>'21년02월(세부내역)'!D38</x:f>
        <x:v>3071002</x:v>
      </x:c>
      <x:c r="J5" s="75">
        <x:f t="shared" ref="J5:J10" si="0">+SUM(F5:I5)</x:f>
        <x:v>47927702</x:v>
      </x:c>
      <x:c r="K5" s="141">
        <x:f t="shared" ref="K5:K10" si="1">E5-J5</x:f>
        <x:v>-9155702</x:v>
      </x:c>
      <x:c r="L5" s="119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'21년02월(세부내역)'!K4</x:f>
        <x:v>33923000</x:v>
      </x:c>
      <x:c r="F6" s="59">
        <x:f>+'21년02월(세부내역)'!K17</x:f>
        <x:v>17020413</x:v>
      </x:c>
      <x:c r="G6" s="59">
        <x:f>'21년02월(세부내역)'!K22</x:f>
        <x:v>19100000</x:v>
      </x:c>
      <x:c r="H6" s="59">
        <x:f>'21년02월(세부내역)'!K27</x:f>
        <x:v>650000</x:v>
      </x:c>
      <x:c r="I6" s="59">
        <x:f>'21년02월(세부내역)'!K38</x:f>
        <x:v>4622123</x:v>
      </x:c>
      <x:c r="J6" s="75">
        <x:f t="shared" si="0"/>
        <x:v>41392536</x:v>
      </x:c>
      <x:c r="K6" s="140">
        <x:f t="shared" si="1"/>
        <x:v>-7469536</x:v>
      </x:c>
      <x:c r="L6" s="59"/>
    </x:row>
    <x:row r="7" spans="1:12" ht="30" customHeight="1">
      <x:c r="A7" s="63">
        <x:v>3</x:v>
      </x:c>
      <x:c r="B7" s="63" t="s">
        <x:v>1021</x:v>
      </x:c>
      <x:c r="C7" s="63" t="s">
        <x:v>1065</x:v>
      </x:c>
      <x:c r="D7" s="115" t="s">
        <x:v>113</x:v>
      </x:c>
      <x:c r="E7" s="74">
        <x:f>'21년02월(세부내역)'!D43</x:f>
        <x:v>0</x:v>
      </x:c>
      <x:c r="F7" s="59">
        <x:f>+'21년02월(세부내역)'!D60</x:f>
        <x:v>754000</x:v>
      </x:c>
      <x:c r="G7" s="59">
        <x:f>'21년02월(세부내역)'!D65</x:f>
        <x:v>10560000</x:v>
      </x:c>
      <x:c r="H7" s="59">
        <x:f>'21년02월(세부내역)'!D70</x:f>
        <x:v>300000</x:v>
      </x:c>
      <x:c r="I7" s="59">
        <x:f>'21년02월(세부내역)'!D81</x:f>
        <x:v>2870600</x:v>
      </x:c>
      <x:c r="J7" s="75">
        <x:f t="shared" si="0"/>
        <x:v>14484600</x:v>
      </x:c>
      <x:c r="K7" s="141">
        <x:f t="shared" si="1"/>
        <x:v>-14484600</x:v>
      </x:c>
      <x:c r="L7" s="119"/>
    </x:row>
    <x:row r="8" spans="1:12" ht="30" customHeight="1">
      <x:c r="A8" s="63">
        <x:v>4</x:v>
      </x:c>
      <x:c r="B8" s="63" t="s">
        <x:v>1025</x:v>
      </x:c>
      <x:c r="C8" s="63" t="s">
        <x:v>1065</x:v>
      </x:c>
      <x:c r="D8" s="115" t="s">
        <x:v>115</x:v>
      </x:c>
      <x:c r="E8" s="74">
        <x:f>'21년02월(세부내역)'!K43</x:f>
        <x:v>79906419</x:v>
      </x:c>
      <x:c r="F8" s="59">
        <x:f>'21년02월(세부내역)'!K60</x:f>
        <x:v>545650</x:v>
      </x:c>
      <x:c r="G8" s="59">
        <x:f>'21년02월(세부내역)'!K65</x:f>
        <x:v>8840000</x:v>
      </x:c>
      <x:c r="H8" s="59">
        <x:f>'21년02월(세부내역)'!K70</x:f>
        <x:v>0</x:v>
      </x:c>
      <x:c r="I8" s="59">
        <x:f>'21년02월(세부내역)'!K81</x:f>
        <x:v>2749800</x:v>
      </x:c>
      <x:c r="J8" s="75">
        <x:f t="shared" si="0"/>
        <x:v>12135450</x:v>
      </x:c>
      <x:c r="K8" s="141">
        <x:f t="shared" si="1"/>
        <x:v>67770969</x:v>
      </x:c>
      <x:c r="L8" s="119"/>
    </x:row>
    <x:row r="9" spans="1:12" ht="30" customHeight="1">
      <x:c r="A9" s="63">
        <x:v>5</x:v>
      </x:c>
      <x:c r="B9" s="63" t="s">
        <x:v>415</x:v>
      </x:c>
      <x:c r="C9" s="63" t="s">
        <x:v>791</x:v>
      </x:c>
      <x:c r="D9" s="115" t="s">
        <x:v>95</x:v>
      </x:c>
      <x:c r="E9" s="74">
        <x:f>'21년02월(세부내역)'!D86</x:f>
        <x:v>8000000</x:v>
      </x:c>
      <x:c r="F9" s="59">
        <x:f>'21년02월(세부내역)'!D103</x:f>
        <x:v>5372395</x:v>
      </x:c>
      <x:c r="G9" s="59">
        <x:f>'21년02월(세부내역)'!D108</x:f>
        <x:v>7810000</x:v>
      </x:c>
      <x:c r="H9" s="59">
        <x:f>'21년02월(세부내역)'!D113</x:f>
        <x:v>0</x:v>
      </x:c>
      <x:c r="I9" s="59">
        <x:f>'21년02월(세부내역)'!D124</x:f>
        <x:v>1721680</x:v>
      </x:c>
      <x:c r="J9" s="75">
        <x:f t="shared" si="0"/>
        <x:v>14904075</x:v>
      </x:c>
      <x:c r="K9" s="141">
        <x:f t="shared" si="1"/>
        <x:v>-6904075</x:v>
      </x:c>
      <x:c r="L9" s="119"/>
    </x:row>
    <x:row r="10" spans="1:12" ht="30" customHeight="1">
      <x:c r="A10" s="63">
        <x:v>6</x:v>
      </x:c>
      <x:c r="B10" s="63" t="s">
        <x:v>789</x:v>
      </x:c>
      <x:c r="C10" s="63" t="s">
        <x:v>156</x:v>
      </x:c>
      <x:c r="D10" s="115" t="s">
        <x:v>96</x:v>
      </x:c>
      <x:c r="E10" s="74">
        <x:f>'21년02월(세부내역)'!K86</x:f>
        <x:v>0</x:v>
      </x:c>
      <x:c r="F10" s="59">
        <x:f>'21년02월(세부내역)'!K103</x:f>
        <x:v>12076060</x:v>
      </x:c>
      <x:c r="G10" s="59">
        <x:f>'21년02월(세부내역)'!K108</x:f>
        <x:v>17540000</x:v>
      </x:c>
      <x:c r="H10" s="59">
        <x:f>'21년02월(세부내역)'!K113</x:f>
        <x:v>0</x:v>
      </x:c>
      <x:c r="I10" s="59">
        <x:f>'21년02월(세부내역)'!K124</x:f>
        <x:v>1056008</x:v>
      </x:c>
      <x:c r="J10" s="75">
        <x:f t="shared" si="0"/>
        <x:v>30672068</x:v>
      </x:c>
      <x:c r="K10" s="141">
        <x:f t="shared" si="1"/>
        <x:v>-30672068</x:v>
      </x:c>
      <x:c r="L10" s="119"/>
    </x:row>
    <x:row r="11" spans="1:12" ht="30" customHeight="1">
      <x:c r="A11" s="64"/>
      <x:c r="B11" s="64" t="s">
        <x:v>1690</x:v>
      </x:c>
      <x:c r="C11" s="64"/>
      <x:c r="D11" s="64"/>
      <x:c r="E11" s="68">
        <x:f t="shared" ref="E11:K11" si="2">SUM(E5:E10)</x:f>
        <x:v>160601419</x:v>
      </x:c>
      <x:c r="F11" s="66">
        <x:f t="shared" si="2"/>
        <x:v>36950218</x:v>
      </x:c>
      <x:c r="G11" s="66">
        <x:f t="shared" si="2"/>
        <x:v>107525000</x:v>
      </x:c>
      <x:c r="H11" s="66">
        <x:f t="shared" si="2"/>
        <x:v>950000</x:v>
      </x:c>
      <x:c r="I11" s="66">
        <x:f t="shared" si="2"/>
        <x:v>16091213</x:v>
      </x:c>
      <x:c r="J11" s="69">
        <x:f t="shared" si="2"/>
        <x:v>161516431</x:v>
      </x:c>
      <x:c r="K11" s="142">
        <x:f t="shared" si="2"/>
        <x:v>-915012</x:v>
      </x:c>
      <x:c r="L11" s="66"/>
    </x:row>
    <x:row r="23" spans="1:19" s="2" customFormat="1">
      <x:c r="A23" s="1"/>
      <x:c r="B23" s="1"/>
      <x:c r="C23" s="1"/>
      <x:c r="D23" s="1"/>
      <x:c r="E23" s="1"/>
      <x:c r="J23" s="1"/>
      <x:c r="K23" s="1"/>
      <x:c r="M23" s="1"/>
      <x:c r="N23" s="1"/>
      <x:c r="O23" s="1"/>
      <x:c r="P23" s="1"/>
      <x:c r="Q23" s="1"/>
      <x:c r="R23" s="1"/>
      <x:c r="S23" s="1"/>
    </x:row>
    <x:row r="113" spans="4:4">
      <x:c r="D113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5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0"/>
  <x:dimension ref="A1:R185"/>
  <x:sheetViews>
    <x:sheetView view="pageBreakPreview" topLeftCell="A1" zoomScaleNormal="100" zoomScaleSheetLayoutView="100" workbookViewId="0">
      <x:selection activeCell="D75" activeCellId="0" sqref="D75:D7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18" width="11.875" style="1" customWidth="1"/>
  </x:cols>
  <x:sheetData>
    <x:row r="1" spans="1:18" ht="38.25" customHeight="1">
      <x:c r="A1" s="286" t="s">
        <x:v>1781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</x:row>
    <x:row r="2" spans="1:18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4" t="s">
        <x:v>282</x:v>
      </x:c>
    </x:row>
    <x:row r="3" spans="1:18" ht="20.100000000000001" customHeight="1">
      <x:c r="A3" s="29" t="s">
        <x:v>147</x:v>
      </x:c>
      <x:c r="B3" s="172" t="s">
        <x:v>144</x:v>
      </x:c>
      <x:c r="C3" s="172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82" t="s">
        <x:v>144</x:v>
      </x:c>
      <x:c r="J3" s="182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5">
        <x:f>+O3-P3-Q3</x:f>
        <x:v>3887810</x:v>
      </x:c>
    </x:row>
    <x:row r="4" spans="1:18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38772000</x:v>
      </x:c>
      <x:c r="E4" s="39">
        <x:v>1228000</x:v>
      </x:c>
      <x:c r="F4" s="40">
        <x:f>+D4+E4</x:f>
        <x:v>40000000</x:v>
      </x:c>
      <x:c r="G4" s="42"/>
      <x:c r="H4" s="181" t="s">
        <x:v>151</x:v>
      </x:c>
      <x:c r="I4" s="38" t="s">
        <x:v>1679</x:v>
      </x:c>
      <x:c r="J4" s="38" t="s">
        <x:v>1030</x:v>
      </x:c>
      <x:c r="K4" s="39">
        <x:v>33923000</x:v>
      </x:c>
      <x:c r="L4" s="39">
        <x:v>77000</x:v>
      </x:c>
      <x:c r="M4" s="40">
        <x:f>+K4+L4</x:f>
        <x:v>34000000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6"/>
    </x:row>
    <x:row r="5" spans="1:18" ht="20.100000000000001" customHeight="1">
      <x:c r="A5" s="298" t="s">
        <x:v>148</x:v>
      </x:c>
      <x:c r="B5" s="165" t="s">
        <x:v>902</x:v>
      </x:c>
      <x:c r="C5" s="166" t="s">
        <x:v>615</x:v>
      </x:c>
      <x:c r="D5" s="167">
        <x:v>-3241790</x:v>
      </x:c>
      <x:c r="E5" s="167">
        <x:f>+D5*0.1</x:f>
        <x:v>-324179</x:v>
      </x:c>
      <x:c r="F5" s="168">
        <x:f t="shared" ref="F5:F16" si="0">+D5+E5</x:f>
        <x:v>-3565969</x:v>
      </x:c>
      <x:c r="G5" s="169" t="s">
        <x:v>1305</x:v>
      </x:c>
      <x:c r="H5" s="298" t="s">
        <x:v>148</x:v>
      </x:c>
      <x:c r="I5" s="19" t="s">
        <x:v>838</x:v>
      </x:c>
      <x:c r="J5" s="19"/>
      <x:c r="K5" s="20"/>
      <x:c r="L5" s="20">
        <x:f t="shared" ref="L5:L13" si="1">+K5*0.1</x:f>
        <x:v>0</x:v>
      </x:c>
      <x:c r="M5" s="21">
        <x:f t="shared" ref="M5:M21" si="2">+K5+L5</x:f>
        <x:v>0</x:v>
      </x:c>
      <x:c r="N5" s="22"/>
      <x:c r="O5" s="186">
        <x:v>199938000</x:v>
      </x:c>
      <x:c r="P5" s="173"/>
      <x:c r="Q5" s="173">
        <x:v>4117540</x:v>
      </x:c>
      <x:c r="R5" s="175">
        <x:f>+O5-P5-Q5</x:f>
        <x:v>195820460</x:v>
      </x:c>
    </x:row>
    <x:row r="6" spans="1:14" ht="20.100000000000001" customHeight="1">
      <x:c r="A6" s="299"/>
      <x:c r="B6" s="154" t="s">
        <x:v>867</x:v>
      </x:c>
      <x:c r="C6" s="155" t="s">
        <x:v>384</x:v>
      </x:c>
      <x:c r="D6" s="156">
        <x:v>-4117540</x:v>
      </x:c>
      <x:c r="E6" s="156">
        <x:f>+D6*0.1</x:f>
        <x:v>-411754</x:v>
      </x:c>
      <x:c r="F6" s="157">
        <x:f t="shared" si="0"/>
        <x:v>-4529294</x:v>
      </x:c>
      <x:c r="G6" s="158" t="s">
        <x:v>1305</x:v>
      </x:c>
      <x:c r="H6" s="299"/>
      <x:c r="I6" s="3" t="s">
        <x:v>867</x:v>
      </x:c>
      <x:c r="J6" s="3" t="s">
        <x:v>90</x:v>
      </x:c>
      <x:c r="K6" s="4">
        <x:v>9063340</x:v>
      </x:c>
      <x:c r="L6" s="4">
        <x:f>+INT(K6*0.1)</x:f>
        <x:v>906334</x:v>
      </x:c>
      <x:c r="M6" s="5">
        <x:f t="shared" si="2"/>
        <x:v>9969674</x:v>
      </x:c>
      <x:c r="N6" s="6"/>
    </x:row>
    <x:row r="7" spans="1:14" ht="20.100000000000001" customHeight="1">
      <x:c r="A7" s="299"/>
      <x:c r="B7" s="178" t="s">
        <x:v>902</x:v>
      </x:c>
      <x:c r="C7" s="178" t="s">
        <x:v>615</x:v>
      </x:c>
      <x:c r="D7" s="44">
        <x:v>3241790</x:v>
      </x:c>
      <x:c r="E7" s="44">
        <x:f>+D7*0.1</x:f>
        <x:v>324179</x:v>
      </x:c>
      <x:c r="F7" s="45">
        <x:f>+D7+E7</x:f>
        <x:v>3565969</x:v>
      </x:c>
      <x:c r="G7" s="179" t="s">
        <x:v>240</x:v>
      </x:c>
      <x:c r="H7" s="299"/>
      <x:c r="I7" s="3" t="s">
        <x:v>854</x:v>
      </x:c>
      <x:c r="J7" s="3" t="s">
        <x:v>403</x:v>
      </x:c>
      <x:c r="K7" s="4">
        <x:v>6508600</x:v>
      </x:c>
      <x:c r="L7" s="4">
        <x:f>+K7*0.1</x:f>
        <x:v>650860</x:v>
      </x:c>
      <x:c r="M7" s="5">
        <x:f>+K7+L7</x:f>
        <x:v>7159460</x:v>
      </x:c>
      <x:c r="N7" s="6"/>
    </x:row>
    <x:row r="8" spans="1:14" ht="20.100000000000001" customHeight="1">
      <x:c r="A8" s="299"/>
      <x:c r="B8" s="162" t="s">
        <x:v>867</x:v>
      </x:c>
      <x:c r="C8" s="162" t="s">
        <x:v>384</x:v>
      </x:c>
      <x:c r="D8" s="163">
        <x:v>4117540</x:v>
      </x:c>
      <x:c r="E8" s="163">
        <x:f>+D8*0.1</x:f>
        <x:v>411754</x:v>
      </x:c>
      <x:c r="F8" s="164">
        <x:f>+D8+E8</x:f>
        <x:v>4529294</x:v>
      </x:c>
      <x:c r="G8" s="180" t="s">
        <x:v>240</x:v>
      </x:c>
      <x:c r="H8" s="299"/>
      <x:c r="I8" s="3" t="s">
        <x:v>1315</x:v>
      </x:c>
      <x:c r="J8" s="3" t="s">
        <x:v>1306</x:v>
      </x:c>
      <x:c r="K8" s="4">
        <x:v>982053</x:v>
      </x:c>
      <x:c r="L8" s="4">
        <x:f>+(K8*0.1)-2</x:f>
        <x:v>98203.300000000003</x:v>
      </x:c>
      <x:c r="M8" s="5">
        <x:f t="shared" si="2"/>
        <x:v>1080256.3</x:v>
      </x:c>
      <x:c r="N8" s="6"/>
    </x:row>
    <x:row r="9" spans="1:14" ht="20.100000000000001" customHeight="1">
      <x:c r="A9" s="299"/>
      <x:c r="B9" s="3" t="s">
        <x:v>1243</x:v>
      </x:c>
      <x:c r="C9" s="3"/>
      <x:c r="D9" s="4"/>
      <x:c r="E9" s="4">
        <x:f t="shared" ref="E9:E16" si="3">+D9*0.1</x:f>
        <x:v>0</x:v>
      </x:c>
      <x:c r="F9" s="5">
        <x:f t="shared" si="0"/>
        <x:v>0</x:v>
      </x:c>
      <x:c r="G9" s="37" t="s">
        <x:v>243</x:v>
      </x:c>
      <x:c r="H9" s="299"/>
      <x:c r="I9" s="3" t="s">
        <x:v>1058</x:v>
      </x:c>
      <x:c r="J9" s="3" t="s">
        <x:v>610</x:v>
      </x:c>
      <x:c r="K9" s="4">
        <x:v>10000</x:v>
      </x:c>
      <x:c r="L9" s="4">
        <x:f>INT(K9*0.1)</x:f>
        <x:v>1000</x:v>
      </x:c>
      <x:c r="M9" s="5">
        <x:f>+K9+L9</x:f>
        <x:v>11000</x:v>
      </x:c>
      <x:c r="N9" s="6"/>
    </x:row>
    <x:row r="10" spans="1:14" ht="20.100000000000001" customHeight="1">
      <x:c r="A10" s="299"/>
      <x:c r="B10" s="3" t="s">
        <x:v>840</x:v>
      </x:c>
      <x:c r="C10" s="3" t="s">
        <x:v>408</x:v>
      </x:c>
      <x:c r="D10" s="4">
        <x:v>425000</x:v>
      </x:c>
      <x:c r="E10" s="4">
        <x:f t="shared" si="3"/>
        <x:v>42500</x:v>
      </x:c>
      <x:c r="F10" s="5">
        <x:f t="shared" si="0"/>
        <x:v>467500</x:v>
      </x:c>
      <x:c r="G10" s="37" t="s">
        <x:v>240</x:v>
      </x:c>
      <x:c r="H10" s="299"/>
      <x:c r="I10" s="3" t="s">
        <x:v>840</x:v>
      </x:c>
      <x:c r="J10" s="3"/>
      <x:c r="K10" s="4"/>
      <x:c r="L10" s="4">
        <x:f t="shared" si="1"/>
        <x:v>0</x:v>
      </x:c>
      <x:c r="M10" s="5">
        <x:f t="shared" si="2"/>
        <x:v>0</x:v>
      </x:c>
      <x:c r="N10" s="6"/>
    </x:row>
    <x:row r="11" spans="1:14" ht="20.100000000000001" customHeight="1">
      <x:c r="A11" s="299"/>
      <x:c r="B11" s="3" t="s">
        <x:v>846</x:v>
      </x:c>
      <x:c r="C11" s="3"/>
      <x:c r="D11" s="4"/>
      <x:c r="E11" s="4">
        <x:f t="shared" si="3"/>
        <x:v>0</x:v>
      </x:c>
      <x:c r="F11" s="5">
        <x:f t="shared" si="0"/>
        <x:v>0</x:v>
      </x:c>
      <x:c r="G11" s="37" t="s">
        <x:v>1283</x:v>
      </x:c>
      <x:c r="H11" s="299"/>
      <x:c r="I11" s="3" t="s">
        <x:v>846</x:v>
      </x:c>
      <x:c r="J11" s="3" t="s">
        <x:v>1178</x:v>
      </x:c>
      <x:c r="K11" s="4">
        <x:v>102420</x:v>
      </x:c>
      <x:c r="L11" s="4">
        <x:f t="shared" si="1"/>
        <x:v>10242</x:v>
      </x:c>
      <x:c r="M11" s="5">
        <x:f t="shared" si="2"/>
        <x:v>112662</x:v>
      </x:c>
      <x:c r="N11" s="6"/>
    </x:row>
    <x:row r="12" spans="1:14" ht="20.100000000000001" customHeight="1">
      <x:c r="A12" s="299"/>
      <x:c r="B12" s="3" t="s">
        <x:v>846</x:v>
      </x:c>
      <x:c r="C12" s="162" t="s">
        <x:v>1301</x:v>
      </x:c>
      <x:c r="D12" s="163">
        <x:v>361700</x:v>
      </x:c>
      <x:c r="E12" s="4">
        <x:f t="shared" si="3"/>
        <x:v>36170</x:v>
      </x:c>
      <x:c r="F12" s="45">
        <x:f t="shared" si="0"/>
        <x:v>397870</x:v>
      </x:c>
      <x:c r="G12" s="37" t="s">
        <x:v>240</x:v>
      </x:c>
      <x:c r="H12" s="299"/>
      <x:c r="I12" s="3" t="s">
        <x:v>846</x:v>
      </x:c>
      <x:c r="J12" s="3" t="s">
        <x:v>1094</x:v>
      </x:c>
      <x:c r="K12" s="4">
        <x:v>354000</x:v>
      </x:c>
      <x:c r="L12" s="4">
        <x:f t="shared" si="1"/>
        <x:v>35400</x:v>
      </x:c>
      <x:c r="M12" s="5">
        <x:f t="shared" si="2"/>
        <x:v>389400</x:v>
      </x:c>
      <x:c r="N12" s="6"/>
    </x:row>
    <x:row r="13" spans="1:14" ht="20.100000000000001" customHeight="1">
      <x:c r="A13" s="299"/>
      <x:c r="B13" s="3" t="s">
        <x:v>938</x:v>
      </x:c>
      <x:c r="C13" s="162" t="s">
        <x:v>191</x:v>
      </x:c>
      <x:c r="D13" s="163">
        <x:v>195000</x:v>
      </x:c>
      <x:c r="E13" s="4">
        <x:f t="shared" si="3"/>
        <x:v>19500</x:v>
      </x:c>
      <x:c r="F13" s="45">
        <x:f t="shared" si="0"/>
        <x:v>214500</x:v>
      </x:c>
      <x:c r="G13" s="37" t="s">
        <x:v>243</x:v>
      </x:c>
      <x:c r="H13" s="299"/>
      <x:c r="I13" s="3"/>
      <x:c r="J13" s="3"/>
      <x:c r="K13" s="4"/>
      <x:c r="L13" s="4">
        <x:f t="shared" si="1"/>
        <x:v>0</x:v>
      </x:c>
      <x:c r="M13" s="5">
        <x:f t="shared" si="2"/>
        <x:v>0</x:v>
      </x:c>
      <x:c r="N13" s="6"/>
    </x:row>
    <x:row r="14" spans="1:14" ht="20.100000000000001" customHeight="1">
      <x:c r="A14" s="299"/>
      <x:c r="B14" s="162" t="s">
        <x:v>614</x:v>
      </x:c>
      <x:c r="C14" s="162" t="s">
        <x:v>1317</x:v>
      </x:c>
      <x:c r="D14" s="163">
        <x:v>200000</x:v>
      </x:c>
      <x:c r="E14" s="4"/>
      <x:c r="F14" s="45">
        <x:f t="shared" si="0"/>
        <x:v>200000</x:v>
      </x:c>
      <x:c r="G14" s="37" t="s">
        <x:v>1283</x:v>
      </x:c>
      <x:c r="H14" s="299"/>
      <x:c r="I14" s="3"/>
      <x:c r="J14" s="3"/>
      <x:c r="K14" s="4"/>
      <x:c r="L14" s="4">
        <x:f>INT(K14*0.1)</x:f>
        <x:v>0</x:v>
      </x:c>
      <x:c r="M14" s="5">
        <x:f t="shared" si="2"/>
        <x:v>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3"/>
        <x:v>0</x:v>
      </x:c>
      <x:c r="F15" s="45">
        <x:f t="shared" si="0"/>
        <x:v>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 t="shared" si="2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3"/>
        <x:v>0</x:v>
      </x:c>
      <x:c r="F16" s="45">
        <x:f t="shared" si="0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2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1181700</x:v>
      </x:c>
      <x:c r="E17" s="9">
        <x:f>SUM(E5:E16)</x:f>
        <x:v>98170</x:v>
      </x:c>
      <x:c r="F17" s="10">
        <x:f>SUM(F5:F16)</x:f>
        <x:v>1279870</x:v>
      </x:c>
      <x:c r="G17" s="11"/>
      <x:c r="H17" s="7"/>
      <x:c r="I17" s="8"/>
      <x:c r="J17" s="8"/>
      <x:c r="K17" s="9">
        <x:f>SUM(K5:K16)</x:f>
        <x:v>17020413</x:v>
      </x:c>
      <x:c r="L17" s="9">
        <x:f>SUM(L5:L16)</x:f>
        <x:v>1702039.3</x:v>
      </x:c>
      <x:c r="M17" s="10">
        <x:f>SUM(M5:M16)</x:f>
        <x:v>18722452.300000001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22060000</x:v>
      </x:c>
      <x:c r="E18" s="44"/>
      <x:c r="F18" s="45">
        <x:f>+D18+E18</x:f>
        <x:v>22060000</x:v>
      </x:c>
      <x:c r="G18" s="37" t="s">
        <x:v>240</x:v>
      </x:c>
      <x:c r="H18" s="301" t="s">
        <x:v>153</x:v>
      </x:c>
      <x:c r="I18" s="3" t="s">
        <x:v>1677</x:v>
      </x:c>
      <x:c r="J18" s="3" t="s">
        <x:v>1083</x:v>
      </x:c>
      <x:c r="K18" s="4">
        <x:v>19100000</x:v>
      </x:c>
      <x:c r="L18" s="4"/>
      <x:c r="M18" s="5">
        <x:f t="shared" si="2"/>
        <x:v>19100000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1280</x:v>
      </x:c>
      <x:c r="D19" s="4">
        <x:v>21615000</x:v>
      </x:c>
      <x:c r="E19" s="4"/>
      <x:c r="F19" s="5">
        <x:f>+D19+E19</x:f>
        <x:v>21615000</x:v>
      </x:c>
      <x:c r="G19" s="37" t="s">
        <x:v>243</x:v>
      </x:c>
      <x:c r="H19" s="299"/>
      <x:c r="I19" s="3"/>
      <x:c r="J19" s="3"/>
      <x:c r="K19" s="4"/>
      <x:c r="L19" s="4">
        <x:f>INT(K19*0.1)</x:f>
        <x:v>0</x:v>
      </x:c>
      <x:c r="M19" s="5">
        <x:f t="shared" si="2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>+D20+E20</x:f>
        <x:v>0</x:v>
      </x:c>
      <x:c r="G20" s="37"/>
      <x:c r="H20" s="299"/>
      <x:c r="I20" s="3"/>
      <x:c r="J20" s="3"/>
      <x:c r="K20" s="4"/>
      <x:c r="L20" s="4"/>
      <x:c r="M20" s="5">
        <x:f t="shared" si="2"/>
        <x:v>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2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43675000</x:v>
      </x:c>
      <x:c r="E22" s="9">
        <x:f>SUM(E18:E21)</x:f>
        <x:v>0</x:v>
      </x:c>
      <x:c r="F22" s="10">
        <x:f>SUM(F18:F21)</x:f>
        <x:v>43675000</x:v>
      </x:c>
      <x:c r="G22" s="11"/>
      <x:c r="H22" s="7"/>
      <x:c r="I22" s="8"/>
      <x:c r="J22" s="8"/>
      <x:c r="K22" s="9">
        <x:f>SUM(K18:K21)</x:f>
        <x:v>19100000</x:v>
      </x:c>
      <x:c r="L22" s="9">
        <x:f>SUM(L18:L21)</x:f>
        <x:v>0</x:v>
      </x:c>
      <x:c r="M22" s="10">
        <x:f>SUM(M18:M21)</x:f>
        <x:v>19100000</x:v>
      </x:c>
      <x:c r="N22" s="11"/>
    </x:row>
    <x:row r="23" spans="1:14" ht="20.100000000000001" customHeight="1">
      <x:c r="A23" s="301" t="s">
        <x:v>187</x:v>
      </x:c>
      <x:c r="B23" s="3" t="s">
        <x:v>1321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600000</x:v>
      </x:c>
      <x:c r="L23" s="4">
        <x:f>+K23*0.1</x:f>
        <x:v>60000</x:v>
      </x:c>
      <x:c r="M23" s="5">
        <x:f>+K23+L23</x:f>
        <x:v>660000</x:v>
      </x:c>
      <x:c r="N23" s="6" t="s">
        <x:v>250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50000</x:v>
      </x:c>
      <x:c r="L24" s="4">
        <x:f>K24*0.1</x:f>
        <x:v>5000</x:v>
      </x:c>
      <x:c r="M24" s="5">
        <x:f>+K24+L24</x:f>
        <x:v>55000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650000</x:v>
      </x:c>
      <x:c r="L27" s="9">
        <x:f>SUM(L23:L26)</x:f>
        <x:v>65000</x:v>
      </x:c>
      <x:c r="M27" s="10">
        <x:f>SUM(M23:M26)</x:f>
        <x:v>715000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1493820</x:v>
      </x:c>
      <x:c r="E28" s="44"/>
      <x:c r="F28" s="5">
        <x:f t="shared" ref="F28:F37" si="4">+D28+E28</x:f>
        <x:v>1493820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1124760</x:v>
      </x:c>
      <x:c r="L28" s="4">
        <x:v>7000</x:v>
      </x:c>
      <x:c r="M28" s="5">
        <x:f>+K28+L28</x:f>
        <x:v>1131760</x:v>
      </x:c>
      <x:c r="N28" s="6"/>
    </x:row>
    <x:row r="29" spans="1:14" ht="20.100000000000001" customHeight="1">
      <x:c r="A29" s="299"/>
      <x:c r="B29" s="3" t="s">
        <x:v>1274</x:v>
      </x:c>
      <x:c r="C29" s="3" t="s">
        <x:v>42</x:v>
      </x:c>
      <x:c r="D29" s="4">
        <x:v>558181</x:v>
      </x:c>
      <x:c r="E29" s="4">
        <x:f>+INT(D29*0.1)+1</x:f>
        <x:v>55819</x:v>
      </x:c>
      <x:c r="F29" s="5">
        <x:f t="shared" si="4"/>
        <x:v>614000</x:v>
      </x:c>
      <x:c r="G29" s="6"/>
      <x:c r="H29" s="299"/>
      <x:c r="I29" s="3" t="s">
        <x:v>1205</x:v>
      </x:c>
      <x:c r="J29" s="3" t="s">
        <x:v>28</x:v>
      </x:c>
      <x:c r="K29" s="4">
        <x:v>736363</x:v>
      </x:c>
      <x:c r="L29" s="4">
        <x:f>+INT(K29*0.1)+1</x:f>
        <x:v>73637</x:v>
      </x:c>
      <x:c r="M29" s="5">
        <x:f>+K29+L29</x:f>
        <x:v>810000</x:v>
      </x:c>
      <x:c r="N29" s="6"/>
    </x:row>
    <x:row r="30" spans="1:14" ht="20.100000000000001" customHeight="1">
      <x:c r="A30" s="299"/>
      <x:c r="B30" s="3" t="s">
        <x:v>1313</x:v>
      </x:c>
      <x:c r="C30" s="3" t="s">
        <x:v>825</x:v>
      </x:c>
      <x:c r="D30" s="4">
        <x:v>57000</x:v>
      </x:c>
      <x:c r="E30" s="4">
        <x:f>+INT(D30*0.1)</x:f>
        <x:v>5700</x:v>
      </x:c>
      <x:c r="F30" s="5">
        <x:f t="shared" si="4"/>
        <x:v>62700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>+K30+L30</x:f>
        <x:v>550000</x:v>
      </x:c>
      <x:c r="N30" s="6"/>
    </x:row>
    <x:row r="31" spans="1:14" ht="20.100000000000001" customHeight="1">
      <x:c r="A31" s="299"/>
      <x:c r="B31" s="3" t="s">
        <x:v>994</x:v>
      </x:c>
      <x:c r="C31" s="3" t="s">
        <x:v>8</x:v>
      </x:c>
      <x:c r="D31" s="4">
        <x:v>420001</x:v>
      </x:c>
      <x:c r="E31" s="4">
        <x:v>41999</x:v>
      </x:c>
      <x:c r="F31" s="5">
        <x:f t="shared" si="4"/>
        <x:v>462000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100000</x:v>
      </x:c>
      <x:c r="E32" s="4">
        <x:f>+INT(D32*0.1)</x:f>
        <x:v>10000</x:v>
      </x:c>
      <x:c r="F32" s="5">
        <x:f t="shared" si="4"/>
        <x:v>110000</x:v>
      </x:c>
      <x:c r="G32" s="6"/>
      <x:c r="H32" s="299"/>
      <x:c r="I32" s="3" t="s">
        <x:v>1120</x:v>
      </x:c>
      <x:c r="J32" s="3" t="s">
        <x:v>167</x:v>
      </x:c>
      <x:c r="K32" s="4">
        <x:v>40000</x:v>
      </x:c>
      <x:c r="L32" s="4">
        <x:f>K32*0.1</x:f>
        <x:v>4000</x:v>
      </x:c>
      <x:c r="M32" s="5">
        <x:f t="shared" ref="M32:M37" si="5">+K32+L32</x:f>
        <x:v>44000</x:v>
      </x:c>
      <x:c r="N32" s="6"/>
    </x:row>
    <x:row r="33" spans="1:14" ht="20.100000000000001" customHeight="1">
      <x:c r="A33" s="299"/>
      <x:c r="B33" s="3" t="s">
        <x:v>247</x:v>
      </x:c>
      <x:c r="C33" s="3" t="s">
        <x:v>231</x:v>
      </x:c>
      <x:c r="D33" s="4">
        <x:v>22000</x:v>
      </x:c>
      <x:c r="E33" s="4">
        <x:f>+INT(D33*0.1)</x:f>
        <x:v>2200</x:v>
      </x:c>
      <x:c r="F33" s="5">
        <x:f t="shared" si="4"/>
        <x:v>24200</x:v>
      </x:c>
      <x:c r="G33" s="146"/>
      <x:c r="H33" s="299"/>
      <x:c r="I33" s="3" t="s">
        <x:v>247</x:v>
      </x:c>
      <x:c r="J33" s="3" t="s">
        <x:v>231</x:v>
      </x:c>
      <x:c r="K33" s="4">
        <x:v>21000</x:v>
      </x:c>
      <x:c r="L33" s="4">
        <x:f>+K33*0.1</x:f>
        <x:v>2100</x:v>
      </x:c>
      <x:c r="M33" s="5">
        <x:f t="shared" si="5"/>
        <x:v>23100</x:v>
      </x:c>
      <x:c r="N33" s="6"/>
    </x:row>
    <x:row r="34" spans="1:14" ht="20.100000000000001" customHeight="1">
      <x:c r="A34" s="299"/>
      <x:c r="B34" s="3" t="s">
        <x:v>238</x:v>
      </x:c>
      <x:c r="C34" s="3" t="s">
        <x:v>405</x:v>
      </x:c>
      <x:c r="D34" s="4">
        <x:v>420000</x:v>
      </x:c>
      <x:c r="E34" s="4"/>
      <x:c r="F34" s="5">
        <x:f t="shared" si="4"/>
        <x:v>420000</x:v>
      </x:c>
      <x:c r="G34" s="146"/>
      <x:c r="H34" s="299"/>
      <x:c r="I34" s="3" t="s">
        <x:v>774</x:v>
      </x:c>
      <x:c r="J34" s="3" t="s">
        <x:v>1233</x:v>
      </x:c>
      <x:c r="K34" s="4">
        <x:v>2100000</x:v>
      </x:c>
      <x:c r="L34" s="4">
        <x:f>+K34*0.1</x:f>
        <x:v>210000</x:v>
      </x:c>
      <x:c r="M34" s="5">
        <x:f t="shared" si="5"/>
        <x:v>2310000</x:v>
      </x:c>
      <x:c r="N34" s="6"/>
    </x:row>
    <x:row r="35" spans="1:14" ht="20.100000000000001" customHeight="1">
      <x:c r="A35" s="299"/>
      <x:c r="B35" s="3" t="s">
        <x:v>1304</x:v>
      </x:c>
      <x:c r="C35" s="3" t="s">
        <x:v>167</x:v>
      </x:c>
      <x:c r="D35" s="4"/>
      <x:c r="E35" s="4">
        <x:f>+INT(D35*0.1)</x:f>
        <x:v>0</x:v>
      </x:c>
      <x:c r="F35" s="5">
        <x:f t="shared" si="4"/>
        <x:v>0</x:v>
      </x:c>
      <x:c r="G35" s="146"/>
      <x:c r="H35" s="299"/>
      <x:c r="I35" s="3"/>
      <x:c r="J35" s="3"/>
      <x:c r="K35" s="4"/>
      <x:c r="L35" s="4">
        <x:f>+K35*0.1</x:f>
        <x:v>0</x:v>
      </x:c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4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4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3071002</x:v>
      </x:c>
      <x:c r="E38" s="9">
        <x:f>SUM(E28:E37)</x:f>
        <x:v>115718</x:v>
      </x:c>
      <x:c r="F38" s="10">
        <x:f>SUM(F28:F37)</x:f>
        <x:v>3186720</x:v>
      </x:c>
      <x:c r="G38" s="11"/>
      <x:c r="H38" s="7"/>
      <x:c r="I38" s="8"/>
      <x:c r="J38" s="8"/>
      <x:c r="K38" s="9">
        <x:f>SUM(K28:K37)</x:f>
        <x:v>4622123</x:v>
      </x:c>
      <x:c r="L38" s="9">
        <x:f>SUM(L28:L37)</x:f>
        <x:v>356737</x:v>
      </x:c>
      <x:c r="M38" s="10">
        <x:f>SUM(M28:M37)</x:f>
        <x:v>4978860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47927702</x:v>
      </x:c>
      <x:c r="E39" s="14">
        <x:f>+E17+E22+E27+E38</x:f>
        <x:v>213888</x:v>
      </x:c>
      <x:c r="F39" s="15">
        <x:f>+F17+F22+F27+F38</x:f>
        <x:v>48141590</x:v>
      </x:c>
      <x:c r="G39" s="16"/>
      <x:c r="H39" s="12"/>
      <x:c r="I39" s="13"/>
      <x:c r="J39" s="13"/>
      <x:c r="K39" s="14">
        <x:f>+K17+K22+K27+K38</x:f>
        <x:v>41392536</x:v>
      </x:c>
      <x:c r="L39" s="14">
        <x:f>+L17+L22+L27+L38</x:f>
        <x:v>2123776.2999999998</x:v>
      </x:c>
      <x:c r="M39" s="15">
        <x:f>+M17+M22+M27+M38</x:f>
        <x:v>43516312.299999997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-9155702</x:v>
      </x:c>
      <x:c r="E40" s="25">
        <x:f>+E4-E39</x:f>
        <x:v>1014112</x:v>
      </x:c>
      <x:c r="F40" s="26">
        <x:f>+F4-F39</x:f>
        <x:v>-8141590</x:v>
      </x:c>
      <x:c r="G40" s="27"/>
      <x:c r="H40" s="23"/>
      <x:c r="I40" s="24"/>
      <x:c r="J40" s="24"/>
      <x:c r="K40" s="25">
        <x:f>+K4-K39</x:f>
        <x:v>-7469536</x:v>
      </x:c>
      <x:c r="L40" s="25">
        <x:f>+L4-L39</x:f>
        <x:v>-2046776.2999999998</x:v>
      </x:c>
      <x:c r="M40" s="26">
        <x:f>+M4-M39</x:f>
        <x:v>-9516312.299999997</x:v>
      </x:c>
      <x:c r="N40" s="27"/>
    </x:row>
    <x:row r="41" spans="1:14" ht="20.100000000000001" customHeight="1">
      <x:c r="A41" s="302" t="s">
        <x:v>1021</x:v>
      </x:c>
      <x:c r="B41" s="303"/>
      <x:c r="C41" s="303"/>
      <x:c r="D41" s="303"/>
      <x:c r="E41" s="303"/>
      <x:c r="F41" s="304"/>
      <x:c r="G41" s="305"/>
      <x:c r="H41" s="302" t="s">
        <x:v>1025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72" t="s">
        <x:v>144</x:v>
      </x:c>
      <x:c r="C42" s="172" t="s">
        <x:v>150</x:v>
      </x:c>
      <x:c r="D42" s="31" t="s">
        <x:v>145</x:v>
      </x:c>
      <x:c r="E42" s="31" t="s">
        <x:v>152</x:v>
      </x:c>
      <x:c r="F42" s="32" t="s">
        <x:v>146</x:v>
      </x:c>
      <x:c r="G42" s="33" t="s">
        <x:v>154</x:v>
      </x:c>
      <x:c r="H42" s="29" t="s">
        <x:v>147</x:v>
      </x:c>
      <x:c r="I42" s="172" t="s">
        <x:v>144</x:v>
      </x:c>
      <x:c r="J42" s="172" t="s">
        <x:v>150</x:v>
      </x:c>
      <x:c r="K42" s="31" t="s">
        <x:v>145</x:v>
      </x:c>
      <x:c r="L42" s="31" t="s">
        <x:v>152</x:v>
      </x:c>
      <x:c r="M42" s="31" t="s">
        <x:v>146</x:v>
      </x:c>
      <x:c r="N42" s="34" t="s">
        <x:v>154</x:v>
      </x:c>
    </x:row>
    <x:row r="43" spans="1:14" ht="20.100000000000001" customHeight="1">
      <x:c r="A43" s="171" t="s">
        <x:v>151</x:v>
      </x:c>
      <x:c r="B43" s="38" t="s">
        <x:v>1679</x:v>
      </x:c>
      <x:c r="C43" s="38" t="s">
        <x:v>1030</x:v>
      </x:c>
      <x:c r="D43" s="39"/>
      <x:c r="E43" s="39"/>
      <x:c r="F43" s="40">
        <x:f>+D43+E43</x:f>
        <x:v>0</x:v>
      </x:c>
      <x:c r="G43" s="18"/>
      <x:c r="H43" s="41" t="s">
        <x:v>151</x:v>
      </x:c>
      <x:c r="I43" s="149" t="s">
        <x:v>1679</x:v>
      </x:c>
      <x:c r="J43" s="149" t="s">
        <x:v>1030</x:v>
      </x:c>
      <x:c r="K43" s="150">
        <x:f>55811419+24095000</x:f>
        <x:v>79906419</x:v>
      </x:c>
      <x:c r="L43" s="150">
        <x:f>488581+2409500</x:f>
        <x:v>2898081</x:v>
      </x:c>
      <x:c r="M43" s="40">
        <x:f>+K43+L43</x:f>
        <x:v>82804500</x:v>
      </x:c>
      <x:c r="N43" s="42" t="s">
        <x:v>1214</x:v>
      </x:c>
    </x:row>
    <x:row r="44" spans="1:14" ht="20.100000000000001" customHeight="1">
      <x:c r="A44" s="298" t="s">
        <x:v>148</x:v>
      </x:c>
      <x:c r="B44" s="19" t="s">
        <x:v>838</x:v>
      </x:c>
      <x:c r="C44" s="19"/>
      <x:c r="D44" s="20"/>
      <x:c r="E44" s="20">
        <x:f>+D44*0.1</x:f>
        <x:v>0</x:v>
      </x:c>
      <x:c r="F44" s="21">
        <x:f>+D44+E44</x:f>
        <x:v>0</x:v>
      </x:c>
      <x:c r="G44" s="22"/>
      <x:c r="H44" s="298" t="s">
        <x:v>148</x:v>
      </x:c>
      <x:c r="I44" s="147" t="s">
        <x:v>867</x:v>
      </x:c>
      <x:c r="J44" s="147"/>
      <x:c r="K44" s="148"/>
      <x:c r="L44" s="148">
        <x:f>K44*0.1</x:f>
        <x:v>0</x:v>
      </x:c>
      <x:c r="M44" s="21">
        <x:f t="shared" ref="M44:M52" si="6">+K44+L44</x:f>
        <x:v>0</x:v>
      </x:c>
      <x:c r="N44" s="22"/>
    </x:row>
    <x:row r="45" spans="1:14" ht="20.100000000000001" customHeight="1">
      <x:c r="A45" s="299"/>
      <x:c r="B45" s="3" t="s">
        <x:v>867</x:v>
      </x:c>
      <x:c r="C45" s="3" t="s">
        <x:v>612</x:v>
      </x:c>
      <x:c r="D45" s="4">
        <x:v>337500</x:v>
      </x:c>
      <x:c r="E45" s="4">
        <x:f>+D45*0.1</x:f>
        <x:v>33750</x:v>
      </x:c>
      <x:c r="F45" s="5">
        <x:f>+D45+E45</x:f>
        <x:v>371250</x:v>
      </x:c>
      <x:c r="G45" s="6"/>
      <x:c r="H45" s="299"/>
      <x:c r="I45" s="3" t="s">
        <x:v>838</x:v>
      </x:c>
      <x:c r="J45" s="3"/>
      <x:c r="K45" s="4"/>
      <x:c r="L45" s="4">
        <x:f t="shared" ref="L45:L51" si="7">+K45*0.1</x:f>
        <x:v>0</x:v>
      </x:c>
      <x:c r="M45" s="5">
        <x:f t="shared" si="6"/>
        <x:v>0</x:v>
      </x:c>
      <x:c r="N45" s="6"/>
    </x:row>
    <x:row r="46" spans="1:14" ht="20.100000000000001" customHeight="1">
      <x:c r="A46" s="299"/>
      <x:c r="B46" s="3" t="s">
        <x:v>854</x:v>
      </x:c>
      <x:c r="C46" s="3"/>
      <x:c r="D46" s="4"/>
      <x:c r="E46" s="4">
        <x:f>+INT(D46*0.1)</x:f>
        <x:v>0</x:v>
      </x:c>
      <x:c r="F46" s="5">
        <x:f t="shared" ref="F46:F59" si="8">+D46+E46</x:f>
        <x:v>0</x:v>
      </x:c>
      <x:c r="G46" s="6"/>
      <x:c r="H46" s="299"/>
      <x:c r="I46" s="3" t="s">
        <x:v>1058</x:v>
      </x:c>
      <x:c r="J46" s="3"/>
      <x:c r="K46" s="4"/>
      <x:c r="L46" s="4">
        <x:f t="shared" si="7"/>
        <x:v>0</x:v>
      </x:c>
      <x:c r="M46" s="5">
        <x:f t="shared" si="6"/>
        <x:v>0</x:v>
      </x:c>
      <x:c r="N46" s="6"/>
    </x:row>
    <x:row r="47" spans="1:14" ht="20.100000000000001" customHeight="1">
      <x:c r="A47" s="299"/>
      <x:c r="B47" s="3" t="s">
        <x:v>1058</x:v>
      </x:c>
      <x:c r="C47" s="3"/>
      <x:c r="D47" s="4"/>
      <x:c r="E47" s="4">
        <x:f>+INT(D47*0.1)</x:f>
        <x:v>0</x:v>
      </x:c>
      <x:c r="F47" s="5">
        <x:f t="shared" si="8"/>
        <x:v>0</x:v>
      </x:c>
      <x:c r="G47" s="6"/>
      <x:c r="H47" s="299"/>
      <x:c r="I47" s="3" t="s">
        <x:v>967</x:v>
      </x:c>
      <x:c r="J47" s="3" t="s">
        <x:v>1320</x:v>
      </x:c>
      <x:c r="K47" s="4">
        <x:v>498500</x:v>
      </x:c>
      <x:c r="L47" s="4">
        <x:f t="shared" si="7"/>
        <x:v>49850</x:v>
      </x:c>
      <x:c r="M47" s="5">
        <x:f t="shared" si="6"/>
        <x:v>548350</x:v>
      </x:c>
      <x:c r="N47" s="6"/>
    </x:row>
    <x:row r="48" spans="1:14" ht="20.100000000000001" customHeight="1">
      <x:c r="A48" s="299"/>
      <x:c r="B48" s="3" t="s">
        <x:v>967</x:v>
      </x:c>
      <x:c r="C48" s="3" t="s">
        <x:v>1207</x:v>
      </x:c>
      <x:c r="D48" s="4">
        <x:v>416500</x:v>
      </x:c>
      <x:c r="E48" s="4">
        <x:f>+INT(D48*0.1)</x:f>
        <x:v>41650</x:v>
      </x:c>
      <x:c r="F48" s="5">
        <x:f t="shared" si="8"/>
        <x:v>458150</x:v>
      </x:c>
      <x:c r="G48" s="6"/>
      <x:c r="H48" s="299"/>
      <x:c r="I48" s="3" t="s">
        <x:v>854</x:v>
      </x:c>
      <x:c r="J48" s="3" t="s">
        <x:v>606</x:v>
      </x:c>
      <x:c r="K48" s="4">
        <x:v>17150</x:v>
      </x:c>
      <x:c r="L48" s="4">
        <x:f t="shared" si="7"/>
        <x:v>1715</x:v>
      </x:c>
      <x:c r="M48" s="5">
        <x:f t="shared" si="6"/>
        <x:v>18865</x:v>
      </x:c>
      <x:c r="N48" s="6"/>
    </x:row>
    <x:row r="49" spans="1:14" ht="20.100000000000001" customHeight="1">
      <x:c r="A49" s="299"/>
      <x:c r="B49" s="3" t="s">
        <x:v>846</x:v>
      </x:c>
      <x:c r="C49" s="3"/>
      <x:c r="D49" s="4"/>
      <x:c r="E49" s="4">
        <x:f>+INT(D49*0.1)</x:f>
        <x:v>0</x:v>
      </x:c>
      <x:c r="F49" s="5">
        <x:f t="shared" si="8"/>
        <x:v>0</x:v>
      </x:c>
      <x:c r="G49" s="6"/>
      <x:c r="H49" s="299"/>
      <x:c r="I49" s="3" t="s">
        <x:v>846</x:v>
      </x:c>
      <x:c r="J49" s="3" t="s">
        <x:v>1297</x:v>
      </x:c>
      <x:c r="K49" s="4">
        <x:v>30000</x:v>
      </x:c>
      <x:c r="L49" s="4">
        <x:f t="shared" si="7"/>
        <x:v>3000</x:v>
      </x:c>
      <x:c r="M49" s="5">
        <x:f t="shared" si="6"/>
        <x:v>33000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ref="E50:E59" si="9">+INT(D50*0.1)</x:f>
        <x:v>0</x:v>
      </x:c>
      <x:c r="F50" s="5">
        <x:f t="shared" si="8"/>
        <x:v>0</x:v>
      </x:c>
      <x:c r="G50" s="6"/>
      <x:c r="H50" s="299"/>
      <x:c r="I50" s="3"/>
      <x:c r="J50" s="3"/>
      <x:c r="K50" s="4"/>
      <x:c r="L50" s="4">
        <x:f t="shared" si="7"/>
        <x:v>0</x:v>
      </x:c>
      <x:c r="M50" s="5">
        <x:f t="shared" si="6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/>
      <x:c r="J51" s="3"/>
      <x:c r="K51" s="4"/>
      <x:c r="L51" s="4">
        <x:f t="shared" si="7"/>
        <x:v>0</x:v>
      </x:c>
      <x:c r="M51" s="5">
        <x:f t="shared" si="6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 t="shared" si="9"/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>
        <x:f>+INT(K52*0.1)</x:f>
        <x:v>0</x:v>
      </x:c>
      <x:c r="M52" s="5">
        <x:f t="shared" si="6"/>
        <x:v>0</x:v>
      </x:c>
      <x:c r="N52" s="6"/>
    </x:row>
    <x:row r="53" spans="1:14" ht="20.100000000000001" customHeight="1">
      <x:c r="A53" s="299"/>
      <x:c r="B53" s="3"/>
      <x:c r="C53" s="129"/>
      <x:c r="D53" s="130"/>
      <x:c r="E53" s="130">
        <x:f t="shared" si="9"/>
        <x:v>0</x:v>
      </x:c>
      <x:c r="F53" s="131">
        <x:f t="shared" si="8"/>
        <x:v>0</x:v>
      </x:c>
      <x:c r="G53" s="6"/>
      <x:c r="H53" s="299"/>
      <x:c r="I53" s="3"/>
      <x:c r="J53" s="3"/>
      <x:c r="K53" s="4"/>
      <x:c r="L53" s="4"/>
      <x:c r="M53" s="5"/>
      <x:c r="N53" s="6"/>
    </x:row>
    <x:row r="54" spans="1:14" ht="20.100000000000001" customHeight="1">
      <x:c r="A54" s="299"/>
      <x:c r="B54" s="3"/>
      <x:c r="C54" s="3"/>
      <x:c r="D54" s="4"/>
      <x:c r="E54" s="4">
        <x:f t="shared" si="9"/>
        <x:v>0</x:v>
      </x:c>
      <x:c r="F54" s="5">
        <x:f t="shared" si="8"/>
        <x:v>0</x:v>
      </x:c>
      <x:c r="G54" s="6"/>
      <x:c r="H54" s="299"/>
      <x:c r="I54" s="3"/>
      <x:c r="J54" s="3"/>
      <x:c r="K54" s="4"/>
      <x:c r="L54" s="4"/>
      <x:c r="M54" s="5"/>
      <x:c r="N54" s="6"/>
    </x:row>
    <x:row r="55" spans="1:14" ht="20.100000000000001" customHeight="1">
      <x:c r="A55" s="299"/>
      <x:c r="B55" s="129"/>
      <x:c r="C55" s="129"/>
      <x:c r="D55" s="130"/>
      <x:c r="E55" s="130">
        <x:f t="shared" si="9"/>
        <x:v>0</x:v>
      </x:c>
      <x:c r="F55" s="131">
        <x:f t="shared" si="8"/>
        <x:v>0</x:v>
      </x:c>
      <x:c r="G55" s="6"/>
      <x:c r="H55" s="299"/>
      <x:c r="I55" s="129"/>
      <x:c r="J55" s="129"/>
      <x:c r="K55" s="4"/>
      <x:c r="L55" s="4">
        <x:f>+K55*0.1</x:f>
        <x:v>0</x:v>
      </x:c>
      <x:c r="M55" s="5">
        <x:f>+K55+L55</x:f>
        <x:v>0</x:v>
      </x:c>
      <x:c r="N55" s="6"/>
    </x:row>
    <x:row r="56" spans="1:14" ht="20.100000000000001" customHeight="1">
      <x:c r="A56" s="299"/>
      <x:c r="B56" s="129"/>
      <x:c r="C56" s="129"/>
      <x:c r="D56" s="130"/>
      <x:c r="E56" s="130">
        <x:f t="shared" si="9"/>
        <x:v>0</x:v>
      </x:c>
      <x:c r="F56" s="131">
        <x:f t="shared" si="8"/>
        <x:v>0</x:v>
      </x:c>
      <x:c r="G56" s="132"/>
      <x:c r="H56" s="299"/>
      <x:c r="I56" s="129"/>
      <x:c r="J56" s="129"/>
      <x:c r="K56" s="130"/>
      <x:c r="L56" s="130">
        <x:f>+INT(K56*0.1)</x:f>
        <x:v>0</x:v>
      </x:c>
      <x:c r="M56" s="5">
        <x:f>+K56+L56</x:f>
        <x:v>0</x:v>
      </x:c>
      <x:c r="N56" s="6"/>
    </x:row>
    <x:row r="57" spans="1:14" ht="20.100000000000001" customHeight="1">
      <x:c r="A57" s="299"/>
      <x:c r="B57" s="129"/>
      <x:c r="C57" s="129"/>
      <x:c r="D57" s="130"/>
      <x:c r="E57" s="130">
        <x:f t="shared" si="9"/>
        <x:v>0</x:v>
      </x:c>
      <x:c r="F57" s="131">
        <x:f t="shared" si="8"/>
        <x:v>0</x:v>
      </x:c>
      <x:c r="G57" s="132"/>
      <x:c r="H57" s="299"/>
      <x:c r="I57" s="3"/>
      <x:c r="J57" s="3"/>
      <x:c r="K57" s="4"/>
      <x:c r="L57" s="4">
        <x:f>+K57*0.1</x:f>
        <x:v>0</x:v>
      </x:c>
      <x:c r="M57" s="131">
        <x:f>+K57+L57</x:f>
        <x:v>0</x:v>
      </x:c>
      <x:c r="N57" s="6"/>
    </x:row>
    <x:row r="58" spans="1:14" ht="20.100000000000001" customHeight="1">
      <x:c r="A58" s="299"/>
      <x:c r="B58" s="129"/>
      <x:c r="C58" s="129"/>
      <x:c r="D58" s="130"/>
      <x:c r="E58" s="130">
        <x:f t="shared" si="9"/>
        <x:v>0</x:v>
      </x:c>
      <x:c r="F58" s="131">
        <x:f t="shared" si="8"/>
        <x:v>0</x:v>
      </x:c>
      <x:c r="G58" s="132"/>
      <x:c r="H58" s="299"/>
      <x:c r="I58" s="3"/>
      <x:c r="J58" s="3"/>
      <x:c r="K58" s="4"/>
      <x:c r="L58" s="4">
        <x:f>+K58*0.1</x:f>
        <x:v>0</x:v>
      </x:c>
      <x:c r="M58" s="5">
        <x:f>+K58+L58</x:f>
        <x:v>0</x:v>
      </x:c>
      <x:c r="N58" s="132"/>
    </x:row>
    <x:row r="59" spans="1:14" ht="20.100000000000001" customHeight="1">
      <x:c r="A59" s="300"/>
      <x:c r="B59" s="129"/>
      <x:c r="C59" s="129"/>
      <x:c r="D59" s="130"/>
      <x:c r="E59" s="130">
        <x:f t="shared" si="9"/>
        <x:v>0</x:v>
      </x:c>
      <x:c r="F59" s="131">
        <x:f t="shared" si="8"/>
        <x:v>0</x:v>
      </x:c>
      <x:c r="G59" s="132"/>
      <x:c r="H59" s="299"/>
      <x:c r="I59" s="129"/>
      <x:c r="J59" s="129"/>
      <x:c r="K59" s="4"/>
      <x:c r="L59" s="4">
        <x:f>+K59*0.1</x:f>
        <x:v>0</x:v>
      </x:c>
      <x:c r="M59" s="5">
        <x:f>+K59+L59</x:f>
        <x:v>0</x:v>
      </x:c>
      <x:c r="N59" s="6"/>
    </x:row>
    <x:row r="60" spans="1:14" ht="20.100000000000001" customHeight="1">
      <x:c r="A60" s="7" t="s">
        <x:v>155</x:v>
      </x:c>
      <x:c r="B60" s="8"/>
      <x:c r="C60" s="8"/>
      <x:c r="D60" s="9">
        <x:f>SUM(D44:D59)</x:f>
        <x:v>754000</x:v>
      </x:c>
      <x:c r="E60" s="9">
        <x:f>SUM(E44:E59)</x:f>
        <x:v>75400</x:v>
      </x:c>
      <x:c r="F60" s="10">
        <x:f>SUM(F44:F59)</x:f>
        <x:v>829400</x:v>
      </x:c>
      <x:c r="G60" s="11"/>
      <x:c r="H60" s="7"/>
      <x:c r="I60" s="8"/>
      <x:c r="J60" s="8"/>
      <x:c r="K60" s="9">
        <x:f>SUM(K44:K59)</x:f>
        <x:v>545650</x:v>
      </x:c>
      <x:c r="L60" s="9">
        <x:f>SUM(L44:L59)</x:f>
        <x:v>54565</x:v>
      </x:c>
      <x:c r="M60" s="10">
        <x:f>SUM(M44:M59)</x:f>
        <x:v>600215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1114</x:v>
      </x:c>
      <x:c r="D61" s="44">
        <x:v>10560000</x:v>
      </x:c>
      <x:c r="E61" s="44"/>
      <x:c r="F61" s="45">
        <x:f>+D61+E61</x:f>
        <x:v>10560000</x:v>
      </x:c>
      <x:c r="G61" s="37"/>
      <x:c r="H61" s="301" t="s">
        <x:v>153</x:v>
      </x:c>
      <x:c r="I61" s="3" t="s">
        <x:v>1677</x:v>
      </x:c>
      <x:c r="J61" s="3" t="s">
        <x:v>1129</x:v>
      </x:c>
      <x:c r="K61" s="4">
        <x:v>8840000</x:v>
      </x:c>
      <x:c r="L61" s="4"/>
      <x:c r="M61" s="5">
        <x:f>+K61+L61</x:f>
        <x:v>8840000</x:v>
      </x:c>
      <x:c r="N61" s="6"/>
    </x:row>
    <x:row r="62" spans="1:14" ht="20.100000000000001" customHeight="1">
      <x:c r="A62" s="299"/>
      <x:c r="B62" s="3"/>
      <x:c r="C62" s="3"/>
      <x:c r="D62" s="44"/>
      <x:c r="E62" s="4"/>
      <x:c r="F62" s="45">
        <x:f>+D62+E62</x:f>
        <x:v>0</x:v>
      </x:c>
      <x:c r="G62" s="37"/>
      <x:c r="H62" s="299"/>
      <x:c r="I62" s="3"/>
      <x:c r="J62" s="3"/>
      <x:c r="K62" s="4"/>
      <x:c r="L62" s="4"/>
      <x:c r="M62" s="5">
        <x:f>+K62+L62</x:f>
        <x:v>0</x:v>
      </x:c>
      <x:c r="N62" s="6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 t="s">
        <x:v>155</x:v>
      </x:c>
      <x:c r="B65" s="8"/>
      <x:c r="C65" s="8"/>
      <x:c r="D65" s="9">
        <x:f>SUM(D61:D64)</x:f>
        <x:v>10560000</x:v>
      </x:c>
      <x:c r="E65" s="9">
        <x:f>SUM(E61:E64)</x:f>
        <x:v>0</x:v>
      </x:c>
      <x:c r="F65" s="10">
        <x:f>SUM(F61:F64)</x:f>
        <x:v>10560000</x:v>
      </x:c>
      <x:c r="G65" s="11"/>
      <x:c r="H65" s="7"/>
      <x:c r="I65" s="8"/>
      <x:c r="J65" s="8"/>
      <x:c r="K65" s="9">
        <x:f>SUM(K61:K64)</x:f>
        <x:v>8840000</x:v>
      </x:c>
      <x:c r="L65" s="9">
        <x:f>SUM(L61:L64)</x:f>
        <x:v>0</x:v>
      </x:c>
      <x:c r="M65" s="10">
        <x:f>SUM(M61:M64)</x:f>
        <x:v>8840000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1126</x:v>
      </x:c>
      <x:c r="D66" s="4">
        <x:v>300000</x:v>
      </x:c>
      <x:c r="E66" s="4">
        <x:f>+D66*0.1</x:f>
        <x:v>30000</x:v>
      </x:c>
      <x:c r="F66" s="5">
        <x:f>+D66+E66</x:f>
        <x:v>330000</x:v>
      </x:c>
      <x:c r="G66" s="6"/>
      <x:c r="H66" s="301" t="s">
        <x:v>187</x:v>
      </x:c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299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 t="s">
        <x:v>155</x:v>
      </x:c>
      <x:c r="B70" s="8"/>
      <x:c r="C70" s="8"/>
      <x:c r="D70" s="9">
        <x:f>SUM(D66:D69)</x:f>
        <x:v>300000</x:v>
      </x:c>
      <x:c r="E70" s="9">
        <x:f>SUM(E66:E69)</x:f>
        <x:v>30000</x:v>
      </x:c>
      <x:c r="F70" s="10">
        <x:f>SUM(F66:F69)</x:f>
        <x:v>330000</x:v>
      </x:c>
      <x:c r="G70" s="11"/>
      <x:c r="H70" s="7"/>
      <x:c r="I70" s="8"/>
      <x:c r="J70" s="8"/>
      <x:c r="K70" s="9">
        <x:f>SUM(K66:K69)</x:f>
        <x:v>0</x:v>
      </x:c>
      <x:c r="L70" s="9">
        <x:f>SUM(L66:L69)</x:f>
        <x:v>0</x:v>
      </x:c>
      <x:c r="M70" s="10">
        <x:f>SUM(M66:M69)</x:f>
        <x:v>0</x:v>
      </x:c>
      <x:c r="N70" s="11"/>
    </x:row>
    <x:row r="71" spans="1:14" ht="20.100000000000001" customHeight="1">
      <x:c r="A71" s="301" t="s">
        <x:v>149</x:v>
      </x:c>
      <x:c r="B71" s="3" t="s">
        <x:v>203</x:v>
      </x:c>
      <x:c r="C71" s="3" t="s">
        <x:v>837</x:v>
      </x:c>
      <x:c r="D71" s="4">
        <x:v>337600</x:v>
      </x:c>
      <x:c r="E71" s="4"/>
      <x:c r="F71" s="5">
        <x:f t="shared" ref="F71:F78" si="10">+D71+E71</x:f>
        <x:v>337600</x:v>
      </x:c>
      <x:c r="G71" s="6"/>
      <x:c r="H71" s="301" t="s">
        <x:v>149</x:v>
      </x:c>
      <x:c r="I71" s="3" t="s">
        <x:v>158</x:v>
      </x:c>
      <x:c r="J71" s="3" t="s">
        <x:v>837</x:v>
      </x:c>
      <x:c r="K71" s="4">
        <x:v>314800</x:v>
      </x:c>
      <x:c r="L71" s="4"/>
      <x:c r="M71" s="5">
        <x:f t="shared" ref="M71:M76" si="11">+K71+L71</x:f>
        <x:v>314800</x:v>
      </x:c>
      <x:c r="N71" s="6"/>
    </x:row>
    <x:row r="72" spans="1:14" ht="20.100000000000001" customHeight="1">
      <x:c r="A72" s="299"/>
      <x:c r="B72" s="3" t="s">
        <x:v>1047</x:v>
      </x:c>
      <x:c r="C72" s="3" t="s">
        <x:v>962</x:v>
      </x:c>
      <x:c r="D72" s="4">
        <x:v>312000</x:v>
      </x:c>
      <x:c r="E72" s="4">
        <x:f>+D72*0.1</x:f>
        <x:v>31200</x:v>
      </x:c>
      <x:c r="F72" s="5">
        <x:f t="shared" si="10"/>
        <x:v>343200</x:v>
      </x:c>
      <x:c r="G72" s="6"/>
      <x:c r="H72" s="299"/>
      <x:c r="I72" s="3" t="s">
        <x:v>947</x:v>
      </x:c>
      <x:c r="J72" s="3" t="s">
        <x:v>914</x:v>
      </x:c>
      <x:c r="K72" s="4">
        <x:v>80000</x:v>
      </x:c>
      <x:c r="L72" s="4">
        <x:f t="shared" ref="L72:L79" si="12">+K72*0.1</x:f>
        <x:v>8000</x:v>
      </x:c>
      <x:c r="M72" s="5">
        <x:f t="shared" si="11"/>
        <x:v>88000</x:v>
      </x:c>
      <x:c r="N72" s="6"/>
    </x:row>
    <x:row r="73" spans="1:14" ht="20.100000000000001" customHeight="1">
      <x:c r="A73" s="299"/>
      <x:c r="B73" s="3" t="s">
        <x:v>1061</x:v>
      </x:c>
      <x:c r="C73" s="3" t="s">
        <x:v>167</x:v>
      </x:c>
      <x:c r="D73" s="4"/>
      <x:c r="E73" s="4"/>
      <x:c r="F73" s="5">
        <x:f t="shared" si="10"/>
        <x:v>0</x:v>
      </x:c>
      <x:c r="G73" s="6"/>
      <x:c r="H73" s="299"/>
      <x:c r="I73" s="3" t="s">
        <x:v>633</x:v>
      </x:c>
      <x:c r="J73" s="3" t="s">
        <x:v>962</x:v>
      </x:c>
      <x:c r="K73" s="4">
        <x:v>264000</x:v>
      </x:c>
      <x:c r="L73" s="4">
        <x:f t="shared" si="12"/>
        <x:v>26400</x:v>
      </x:c>
      <x:c r="M73" s="5">
        <x:f t="shared" si="11"/>
        <x:v>290400</x:v>
      </x:c>
      <x:c r="N73" s="6"/>
    </x:row>
    <x:row r="74" spans="1:14" ht="20.100000000000001" customHeight="1">
      <x:c r="A74" s="299"/>
      <x:c r="B74" s="3" t="s">
        <x:v>947</x:v>
      </x:c>
      <x:c r="C74" s="3" t="s">
        <x:v>914</x:v>
      </x:c>
      <x:c r="D74" s="4">
        <x:v>100000</x:v>
      </x:c>
      <x:c r="E74" s="4">
        <x:f>+D74*0.1</x:f>
        <x:v>10000</x:v>
      </x:c>
      <x:c r="F74" s="5">
        <x:f t="shared" si="10"/>
        <x:v>110000</x:v>
      </x:c>
      <x:c r="G74" s="6"/>
      <x:c r="H74" s="299"/>
      <x:c r="I74" s="3" t="s">
        <x:v>1049</x:v>
      </x:c>
      <x:c r="J74" s="3" t="s">
        <x:v>167</x:v>
      </x:c>
      <x:c r="K74" s="4">
        <x:v>45000</x:v>
      </x:c>
      <x:c r="L74" s="4">
        <x:f t="shared" si="12"/>
        <x:v>4500</x:v>
      </x:c>
      <x:c r="M74" s="5">
        <x:f t="shared" si="11"/>
        <x:v>49500</x:v>
      </x:c>
      <x:c r="N74" s="6"/>
    </x:row>
    <x:row r="75" spans="1:14" ht="20.100000000000001" customHeight="1">
      <x:c r="A75" s="299"/>
      <x:c r="B75" s="3" t="s">
        <x:v>247</x:v>
      </x:c>
      <x:c r="C75" s="3" t="s">
        <x:v>231</x:v>
      </x:c>
      <x:c r="D75" s="4">
        <x:v>21000</x:v>
      </x:c>
      <x:c r="E75" s="4">
        <x:f>+D75*0.1</x:f>
        <x:v>2100</x:v>
      </x:c>
      <x:c r="F75" s="5">
        <x:f t="shared" si="10"/>
        <x:v>23100</x:v>
      </x:c>
      <x:c r="G75" s="6"/>
      <x:c r="H75" s="299"/>
      <x:c r="I75" s="3" t="s">
        <x:v>247</x:v>
      </x:c>
      <x:c r="J75" s="3" t="s">
        <x:v>231</x:v>
      </x:c>
      <x:c r="K75" s="4">
        <x:v>46000</x:v>
      </x:c>
      <x:c r="L75" s="4">
        <x:f t="shared" si="12"/>
        <x:v>4600</x:v>
      </x:c>
      <x:c r="M75" s="5">
        <x:f t="shared" si="11"/>
        <x:v>50600</x:v>
      </x:c>
      <x:c r="N75" s="6"/>
    </x:row>
    <x:row r="76" spans="1:14" ht="20.100000000000001" customHeight="1">
      <x:c r="A76" s="299"/>
      <x:c r="B76" s="3" t="s">
        <x:v>774</x:v>
      </x:c>
      <x:c r="C76" s="3" t="s">
        <x:v>1233</x:v>
      </x:c>
      <x:c r="D76" s="4">
        <x:v>2100000</x:v>
      </x:c>
      <x:c r="E76" s="4">
        <x:f>+D76*0.1</x:f>
        <x:v>210000</x:v>
      </x:c>
      <x:c r="F76" s="5">
        <x:f t="shared" si="10"/>
        <x:v>2310000</x:v>
      </x:c>
      <x:c r="G76" s="6"/>
      <x:c r="H76" s="299"/>
      <x:c r="I76" s="3" t="s">
        <x:v>771</x:v>
      </x:c>
      <x:c r="J76" s="3" t="s">
        <x:v>811</x:v>
      </x:c>
      <x:c r="K76" s="4"/>
      <x:c r="L76" s="4">
        <x:f t="shared" si="12"/>
        <x:v>0</x:v>
      </x:c>
      <x:c r="M76" s="5">
        <x:f t="shared" si="11"/>
        <x:v>0</x:v>
      </x:c>
      <x:c r="N76" s="6"/>
    </x:row>
    <x:row r="77" spans="1:14" ht="20.100000000000001" customHeight="1">
      <x:c r="A77" s="299"/>
      <x:c r="B77" s="3"/>
      <x:c r="C77" s="3"/>
      <x:c r="D77" s="4"/>
      <x:c r="E77" s="4">
        <x:f>+D77*0.1</x:f>
        <x:v>0</x:v>
      </x:c>
      <x:c r="F77" s="5">
        <x:f t="shared" si="10"/>
        <x:v>0</x:v>
      </x:c>
      <x:c r="G77" s="6"/>
      <x:c r="H77" s="299"/>
      <x:c r="I77" s="3" t="s">
        <x:v>774</x:v>
      </x:c>
      <x:c r="J77" s="3" t="s">
        <x:v>1233</x:v>
      </x:c>
      <x:c r="K77" s="4">
        <x:v>1900000</x:v>
      </x:c>
      <x:c r="L77" s="4">
        <x:f t="shared" si="12"/>
        <x:v>190000</x:v>
      </x:c>
      <x:c r="M77" s="5">
        <x:f>+K77+L77</x:f>
        <x:v>2090000</x:v>
      </x:c>
      <x:c r="N77" s="6" t="s">
        <x:v>266</x:v>
      </x:c>
    </x:row>
    <x:row r="78" spans="1:14" ht="20.100000000000001" customHeight="1">
      <x:c r="A78" s="299"/>
      <x:c r="B78" s="3"/>
      <x:c r="C78" s="3"/>
      <x:c r="D78" s="4"/>
      <x:c r="E78" s="4">
        <x:f>+D78*0.1</x:f>
        <x:v>0</x:v>
      </x:c>
      <x:c r="F78" s="5">
        <x:f t="shared" si="10"/>
        <x:v>0</x:v>
      </x:c>
      <x:c r="G78" s="6"/>
      <x:c r="H78" s="299"/>
      <x:c r="I78" s="3" t="s">
        <x:v>611</x:v>
      </x:c>
      <x:c r="J78" s="3" t="s">
        <x:v>609</x:v>
      </x:c>
      <x:c r="K78" s="4">
        <x:v>100000</x:v>
      </x:c>
      <x:c r="L78" s="4">
        <x:f t="shared" si="12"/>
        <x:v>10000</x:v>
      </x:c>
      <x:c r="M78" s="5">
        <x:f>+K78+L78</x:f>
        <x:v>110000</x:v>
      </x:c>
      <x:c r="N78" s="6" t="s">
        <x:v>266</x:v>
      </x:c>
    </x:row>
    <x:row r="79" spans="1:14" ht="20.100000000000001" customHeight="1">
      <x:c r="A79" s="299"/>
      <x:c r="B79" s="3"/>
      <x:c r="C79" s="3"/>
      <x:c r="D79" s="4"/>
      <x:c r="E79" s="4"/>
      <x:c r="F79" s="5"/>
      <x:c r="G79" s="6"/>
      <x:c r="H79" s="299"/>
      <x:c r="I79" s="3"/>
      <x:c r="J79" s="3"/>
      <x:c r="K79" s="4"/>
      <x:c r="L79" s="4">
        <x:f t="shared" si="12"/>
        <x:v>0</x:v>
      </x:c>
      <x:c r="M79" s="5">
        <x:f>+K79+L79</x:f>
        <x:v>0</x:v>
      </x:c>
      <x:c r="N79" s="6"/>
    </x:row>
    <x:row r="80" spans="1:14" ht="20.100000000000001" customHeight="1">
      <x:c r="A80" s="300"/>
      <x:c r="B80" s="3"/>
      <x:c r="C80" s="3"/>
      <x:c r="D80" s="4"/>
      <x:c r="E80" s="4"/>
      <x:c r="F80" s="5"/>
      <x:c r="G80" s="6"/>
      <x:c r="H80" s="300"/>
      <x:c r="I80" s="3"/>
      <x:c r="J80" s="3"/>
      <x:c r="K80" s="4"/>
      <x:c r="L80" s="4"/>
      <x:c r="M80" s="5"/>
      <x:c r="N80" s="6"/>
    </x:row>
    <x:row r="81" spans="1:14" ht="20.100000000000001" customHeight="1">
      <x:c r="A81" s="7" t="s">
        <x:v>155</x:v>
      </x:c>
      <x:c r="B81" s="8"/>
      <x:c r="C81" s="8"/>
      <x:c r="D81" s="9">
        <x:f>SUM(D71:D80)</x:f>
        <x:v>2870600</x:v>
      </x:c>
      <x:c r="E81" s="9">
        <x:f>SUM(E71:E80)</x:f>
        <x:v>253300</x:v>
      </x:c>
      <x:c r="F81" s="10">
        <x:f>SUM(F71:F80)</x:f>
        <x:v>3123900</x:v>
      </x:c>
      <x:c r="G81" s="11"/>
      <x:c r="H81" s="7"/>
      <x:c r="I81" s="8"/>
      <x:c r="J81" s="8"/>
      <x:c r="K81" s="9">
        <x:f>SUM(K71:K80)</x:f>
        <x:v>2749800</x:v>
      </x:c>
      <x:c r="L81" s="9">
        <x:f>SUM(L71:L80)</x:f>
        <x:v>243500</x:v>
      </x:c>
      <x:c r="M81" s="10">
        <x:f>SUM(M71:M80)</x:f>
        <x:v>2993300</x:v>
      </x:c>
      <x:c r="N81" s="11"/>
    </x:row>
    <x:row r="82" spans="1:14" ht="20.100000000000001" customHeight="1">
      <x:c r="A82" s="12"/>
      <x:c r="B82" s="13"/>
      <x:c r="C82" s="13"/>
      <x:c r="D82" s="14">
        <x:f>+D60+D65+D70+D81</x:f>
        <x:v>14484600</x:v>
      </x:c>
      <x:c r="E82" s="14">
        <x:f>+E60+E65+E70+E81</x:f>
        <x:v>358700</x:v>
      </x:c>
      <x:c r="F82" s="15">
        <x:f>+F60+F65+F70+F81</x:f>
        <x:v>14843300</x:v>
      </x:c>
      <x:c r="G82" s="16"/>
      <x:c r="H82" s="12" t="s">
        <x:v>1690</x:v>
      </x:c>
      <x:c r="I82" s="13"/>
      <x:c r="J82" s="13"/>
      <x:c r="K82" s="14">
        <x:f>+K60+K65+K70+K81</x:f>
        <x:v>12135450</x:v>
      </x:c>
      <x:c r="L82" s="14">
        <x:f>+L60+L65+L70+L81</x:f>
        <x:v>298065</x:v>
      </x:c>
      <x:c r="M82" s="15">
        <x:f>+M60+M65+M70+M81</x:f>
        <x:v>12433515</x:v>
      </x:c>
      <x:c r="N82" s="16"/>
    </x:row>
    <x:row r="83" spans="1:14" ht="20.100000000000001" customHeight="1">
      <x:c r="A83" s="23"/>
      <x:c r="B83" s="24"/>
      <x:c r="C83" s="24"/>
      <x:c r="D83" s="25">
        <x:f>+D43-D82</x:f>
        <x:v>-14484600</x:v>
      </x:c>
      <x:c r="E83" s="25">
        <x:f>+E43-E82</x:f>
        <x:v>-358700</x:v>
      </x:c>
      <x:c r="F83" s="26">
        <x:f>+F43-F82</x:f>
        <x:v>-14843300</x:v>
      </x:c>
      <x:c r="G83" s="27"/>
      <x:c r="H83" s="23" t="s">
        <x:v>35</x:v>
      </x:c>
      <x:c r="I83" s="24"/>
      <x:c r="J83" s="24"/>
      <x:c r="K83" s="25">
        <x:f>+K43-K82</x:f>
        <x:v>67770969</x:v>
      </x:c>
      <x:c r="L83" s="25">
        <x:f>+L43-L82</x:f>
        <x:v>2600016</x:v>
      </x:c>
      <x:c r="M83" s="26">
        <x:f>+M43-M82</x:f>
        <x:v>70370985</x:v>
      </x:c>
      <x:c r="N83" s="27"/>
    </x:row>
    <x:row r="84" spans="1:14" ht="20.100000000000001" customHeight="1">
      <x:c r="A84" s="302" t="s">
        <x:v>415</x:v>
      </x:c>
      <x:c r="B84" s="303"/>
      <x:c r="C84" s="303"/>
      <x:c r="D84" s="303"/>
      <x:c r="E84" s="303"/>
      <x:c r="F84" s="304"/>
      <x:c r="G84" s="305"/>
      <x:c r="H84" s="302" t="s">
        <x:v>789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72" t="s">
        <x:v>144</x:v>
      </x:c>
      <x:c r="C85" s="172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72" t="s">
        <x:v>144</x:v>
      </x:c>
      <x:c r="J85" s="172" t="s">
        <x:v>150</x:v>
      </x:c>
      <x:c r="K85" s="31" t="s">
        <x:v>145</x:v>
      </x:c>
      <x:c r="L85" s="31" t="s">
        <x:v>152</x:v>
      </x:c>
      <x:c r="M85" s="32" t="s">
        <x:v>146</x:v>
      </x:c>
      <x:c r="N85" s="33" t="s">
        <x:v>154</x:v>
      </x:c>
    </x:row>
    <x:row r="86" spans="1:14" ht="20.100000000000001" customHeight="1">
      <x:c r="A86" s="41" t="s">
        <x:v>151</x:v>
      </x:c>
      <x:c r="B86" s="38" t="s">
        <x:v>1679</x:v>
      </x:c>
      <x:c r="C86" s="38" t="s">
        <x:v>791</x:v>
      </x:c>
      <x:c r="D86" s="39">
        <x:v>8000000</x:v>
      </x:c>
      <x:c r="E86" s="39">
        <x:f>+D86*0.1</x:f>
        <x:v>800000</x:v>
      </x:c>
      <x:c r="F86" s="40">
        <x:f t="shared" ref="F86:F95" si="13">+D86+E86</x:f>
        <x:v>8800000</x:v>
      </x:c>
      <x:c r="G86" s="42"/>
      <x:c r="H86" s="171" t="s">
        <x:v>151</x:v>
      </x:c>
      <x:c r="I86" s="38" t="s">
        <x:v>1679</x:v>
      </x:c>
      <x:c r="J86" s="38" t="s">
        <x:v>156</x:v>
      </x:c>
      <x:c r="K86" s="39"/>
      <x:c r="L86" s="39">
        <x:f>+K86*0.1</x:f>
        <x:v>0</x:v>
      </x:c>
      <x:c r="M86" s="40">
        <x:f t="shared" ref="M86:M94" si="14">+K86+L86</x:f>
        <x:v>0</x:v>
      </x:c>
      <x:c r="N86" s="18"/>
    </x:row>
    <x:row r="87" spans="1:14" ht="20.100000000000001" customHeight="1">
      <x:c r="A87" s="298" t="s">
        <x:v>148</x:v>
      </x:c>
      <x:c r="B87" s="19" t="s">
        <x:v>867</x:v>
      </x:c>
      <x:c r="C87" s="19" t="s">
        <x:v>369</x:v>
      </x:c>
      <x:c r="D87" s="20">
        <x:v>2575900</x:v>
      </x:c>
      <x:c r="E87" s="20">
        <x:f>+D87*0.1</x:f>
        <x:v>257590</x:v>
      </x:c>
      <x:c r="F87" s="21">
        <x:f t="shared" si="13"/>
        <x:v>2833490</x:v>
      </x:c>
      <x:c r="G87" s="22"/>
      <x:c r="H87" s="298" t="s">
        <x:v>148</x:v>
      </x:c>
      <x:c r="I87" s="54" t="s">
        <x:v>867</x:v>
      </x:c>
      <x:c r="J87" s="54" t="s">
        <x:v>1287</x:v>
      </x:c>
      <x:c r="K87" s="93">
        <x:v>9199550</x:v>
      </x:c>
      <x:c r="L87" s="93">
        <x:f>+K87*0.1</x:f>
        <x:v>919955</x:v>
      </x:c>
      <x:c r="M87" s="94">
        <x:f t="shared" si="14"/>
        <x:v>10119505</x:v>
      </x:c>
      <x:c r="N87" s="95"/>
    </x:row>
    <x:row r="88" spans="1:14" ht="20.100000000000001" customHeight="1">
      <x:c r="A88" s="299"/>
      <x:c r="B88" s="3" t="s">
        <x:v>976</x:v>
      </x:c>
      <x:c r="C88" s="3"/>
      <x:c r="D88" s="4"/>
      <x:c r="E88" s="4">
        <x:f>D88*0.1</x:f>
        <x:v>0</x:v>
      </x:c>
      <x:c r="F88" s="5">
        <x:f t="shared" si="13"/>
        <x:v>0</x:v>
      </x:c>
      <x:c r="G88" s="6"/>
      <x:c r="H88" s="299"/>
      <x:c r="I88" s="162" t="s">
        <x:v>840</x:v>
      </x:c>
      <x:c r="J88" s="162" t="s">
        <x:v>613</x:v>
      </x:c>
      <x:c r="K88" s="163">
        <x:v>280210</x:v>
      </x:c>
      <x:c r="L88" s="163">
        <x:f>+K88*0.1</x:f>
        <x:v>28021</x:v>
      </x:c>
      <x:c r="M88" s="164">
        <x:f t="shared" si="14"/>
        <x:v>308231</x:v>
      </x:c>
      <x:c r="N88" s="158"/>
    </x:row>
    <x:row r="89" spans="1:14" ht="20.100000000000001" customHeight="1">
      <x:c r="A89" s="299"/>
      <x:c r="B89" s="3" t="s">
        <x:v>840</x:v>
      </x:c>
      <x:c r="C89" s="3" t="s">
        <x:v>1314</x:v>
      </x:c>
      <x:c r="D89" s="4">
        <x:v>956500</x:v>
      </x:c>
      <x:c r="E89" s="4">
        <x:f>+D89*0.1</x:f>
        <x:v>95650</x:v>
      </x:c>
      <x:c r="F89" s="5">
        <x:f t="shared" si="13"/>
        <x:v>1052150</x:v>
      </x:c>
      <x:c r="G89" s="6"/>
      <x:c r="H89" s="299"/>
      <x:c r="I89" s="3" t="s">
        <x:v>846</x:v>
      </x:c>
      <x:c r="J89" s="3" t="s">
        <x:v>1296</x:v>
      </x:c>
      <x:c r="K89" s="4">
        <x:v>2596300</x:v>
      </x:c>
      <x:c r="L89" s="4">
        <x:f>+K89*0.1</x:f>
        <x:v>259630</x:v>
      </x:c>
      <x:c r="M89" s="5">
        <x:f t="shared" si="14"/>
        <x:v>2855930</x:v>
      </x:c>
      <x:c r="N89" s="6"/>
    </x:row>
    <x:row r="90" spans="1:14" ht="20.100000000000001" customHeight="1">
      <x:c r="A90" s="299"/>
      <x:c r="B90" s="3" t="s">
        <x:v>938</x:v>
      </x:c>
      <x:c r="C90" s="3"/>
      <x:c r="D90" s="4"/>
      <x:c r="E90" s="4">
        <x:f>+D90*0.1</x:f>
        <x:v>0</x:v>
      </x:c>
      <x:c r="F90" s="5">
        <x:f t="shared" si="13"/>
        <x:v>0</x:v>
      </x:c>
      <x:c r="G90" s="6"/>
      <x:c r="H90" s="299"/>
      <x:c r="I90" s="3" t="s">
        <x:v>938</x:v>
      </x:c>
      <x:c r="J90" s="3"/>
      <x:c r="K90" s="4"/>
      <x:c r="L90" s="4">
        <x:f>+K90*0.1</x:f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 t="s">
        <x:v>838</x:v>
      </x:c>
      <x:c r="C91" s="3" t="s">
        <x:v>1116</x:v>
      </x:c>
      <x:c r="D91" s="4">
        <x:v>1330845</x:v>
      </x:c>
      <x:c r="E91" s="4">
        <x:f>+D91*0.1-1</x:f>
        <x:v>133083.5</x:v>
      </x:c>
      <x:c r="F91" s="5">
        <x:f t="shared" si="13"/>
        <x:v>1463928.5</x:v>
      </x:c>
      <x:c r="G91" s="6"/>
      <x:c r="H91" s="299"/>
      <x:c r="I91" s="3"/>
      <x:c r="J91" s="3"/>
      <x:c r="K91" s="4"/>
      <x:c r="L91" s="4">
        <x:f>+INT(K91*0.1)</x:f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 t="s">
        <x:v>846</x:v>
      </x:c>
      <x:c r="C92" s="3" t="s">
        <x:v>1152</x:v>
      </x:c>
      <x:c r="D92" s="4">
        <x:v>285150</x:v>
      </x:c>
      <x:c r="E92" s="4">
        <x:f>+D92*0.1</x:f>
        <x:v>28515</x:v>
      </x:c>
      <x:c r="F92" s="5">
        <x:f t="shared" si="13"/>
        <x:v>313665</x:v>
      </x:c>
      <x:c r="G92" s="6"/>
      <x:c r="H92" s="299"/>
      <x:c r="I92" s="3"/>
      <x:c r="J92" s="3"/>
      <x:c r="K92" s="4"/>
      <x:c r="L92" s="4">
        <x:f>+INT(K92*0.1)</x:f>
        <x:v>0</x:v>
      </x:c>
      <x:c r="M92" s="5">
        <x:f t="shared" si="14"/>
        <x:v>0</x:v>
      </x:c>
      <x:c r="N92" s="6"/>
    </x:row>
    <x:row r="93" spans="1:14" ht="20.100000000000001" customHeight="1">
      <x:c r="A93" s="299"/>
      <x:c r="B93" s="3" t="s">
        <x:v>1319</x:v>
      </x:c>
      <x:c r="C93" s="3" t="s">
        <x:v>1295</x:v>
      </x:c>
      <x:c r="D93" s="4">
        <x:v>224000</x:v>
      </x:c>
      <x:c r="E93" s="4">
        <x:f>+D93*0.1</x:f>
        <x:v>22400</x:v>
      </x:c>
      <x:c r="F93" s="5">
        <x:f t="shared" si="13"/>
        <x:v>246400</x:v>
      </x:c>
      <x:c r="G93" s="6"/>
      <x:c r="H93" s="299"/>
      <x:c r="I93" s="3"/>
      <x:c r="J93" s="3"/>
      <x:c r="K93" s="4"/>
      <x:c r="L93" s="4">
        <x:f>+INT(K93*0.1)</x:f>
        <x:v>0</x:v>
      </x:c>
      <x:c r="M93" s="5">
        <x:f t="shared" si="14"/>
        <x:v>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>+D94*0.1</x:f>
        <x:v>0</x:v>
      </x:c>
      <x:c r="F94" s="5">
        <x:f t="shared" si="13"/>
        <x:v>0</x:v>
      </x:c>
      <x:c r="G94" s="6"/>
      <x:c r="H94" s="299"/>
      <x:c r="I94" s="3"/>
      <x:c r="J94" s="3"/>
      <x:c r="K94" s="4"/>
      <x:c r="L94" s="4">
        <x:f>+INT(K94*0.1)</x:f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>+D95*0.1</x:f>
        <x:v>0</x:v>
      </x:c>
      <x:c r="F95" s="5">
        <x:f t="shared" si="13"/>
        <x:v>0</x:v>
      </x:c>
      <x:c r="G95" s="6"/>
      <x:c r="H95" s="299"/>
      <x:c r="I95" s="3"/>
      <x:c r="J95" s="3"/>
      <x:c r="K95" s="4"/>
      <x:c r="L95" s="4"/>
      <x:c r="M95" s="5"/>
      <x:c r="N95" s="6"/>
    </x:row>
    <x:row r="96" spans="1:14" ht="20.100000000000001" customHeight="1">
      <x:c r="A96" s="299"/>
      <x:c r="B96" s="3"/>
      <x:c r="C96" s="3"/>
      <x:c r="D96" s="4"/>
      <x:c r="E96" s="4"/>
      <x:c r="F96" s="5"/>
      <x:c r="G96" s="6"/>
      <x:c r="H96" s="299"/>
      <x:c r="I96" s="3"/>
      <x:c r="J96" s="3"/>
      <x:c r="K96" s="4"/>
      <x:c r="L96" s="4">
        <x:f t="shared" ref="L96:L101" si="15">+INT(K96*0.1)</x:f>
        <x:v>0</x:v>
      </x:c>
      <x:c r="M96" s="5">
        <x:f t="shared" ref="M96:M101" si="16">+K96+L96</x:f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/>
      <x:c r="F97" s="5"/>
      <x:c r="G97" s="6"/>
      <x:c r="H97" s="299"/>
      <x:c r="I97" s="3"/>
      <x:c r="J97" s="3"/>
      <x:c r="K97" s="4"/>
      <x:c r="L97" s="4">
        <x:f t="shared" si="15"/>
        <x:v>0</x:v>
      </x:c>
      <x:c r="M97" s="5">
        <x:f t="shared" si="16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>+D98*0.1</x:f>
        <x:v>0</x:v>
      </x:c>
      <x:c r="F98" s="5">
        <x:f>+D98+E98</x:f>
        <x:v>0</x:v>
      </x:c>
      <x:c r="G98" s="6"/>
      <x:c r="H98" s="299"/>
      <x:c r="I98" s="3"/>
      <x:c r="J98" s="3"/>
      <x:c r="K98" s="4"/>
      <x:c r="L98" s="4">
        <x:f t="shared" si="15"/>
        <x:v>0</x:v>
      </x:c>
      <x:c r="M98" s="5">
        <x:f t="shared" si="16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>+D99*0.1</x:f>
        <x:v>0</x:v>
      </x:c>
      <x:c r="F99" s="5">
        <x:f>+D99+E99</x:f>
        <x:v>0</x:v>
      </x:c>
      <x:c r="G99" s="6"/>
      <x:c r="H99" s="299"/>
      <x:c r="I99" s="3"/>
      <x:c r="J99" s="3"/>
      <x:c r="K99" s="4"/>
      <x:c r="L99" s="4">
        <x:f t="shared" si="15"/>
        <x:v>0</x:v>
      </x:c>
      <x:c r="M99" s="5">
        <x:f t="shared" si="16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 t="shared" si="15"/>
        <x:v>0</x:v>
      </x:c>
      <x:c r="M100" s="5">
        <x:f t="shared" si="16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299"/>
      <x:c r="I101" s="3"/>
      <x:c r="J101" s="3"/>
      <x:c r="K101" s="4"/>
      <x:c r="L101" s="4">
        <x:f t="shared" si="15"/>
        <x:v>0</x:v>
      </x:c>
      <x:c r="M101" s="5">
        <x:f t="shared" si="16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300"/>
      <x:c r="I102" s="3"/>
      <x:c r="J102" s="3"/>
      <x:c r="K102" s="4"/>
      <x:c r="L102" s="4"/>
      <x:c r="M102" s="5"/>
      <x:c r="N102" s="6"/>
    </x:row>
    <x:row r="103" spans="1:14" ht="20.100000000000001" customHeight="1">
      <x:c r="A103" s="7"/>
      <x:c r="B103" s="8"/>
      <x:c r="C103" s="8"/>
      <x:c r="D103" s="9">
        <x:f>SUM(D87:D102)</x:f>
        <x:v>5372395</x:v>
      </x:c>
      <x:c r="E103" s="9">
        <x:f>SUM(E87:E102)</x:f>
        <x:v>537238.5</x:v>
      </x:c>
      <x:c r="F103" s="10">
        <x:f>SUM(F87:F102)</x:f>
        <x:v>5909633.5</x:v>
      </x:c>
      <x:c r="G103" s="11"/>
      <x:c r="H103" s="7" t="s">
        <x:v>155</x:v>
      </x:c>
      <x:c r="I103" s="8"/>
      <x:c r="J103" s="8"/>
      <x:c r="K103" s="9">
        <x:f>SUM(K87:K102)</x:f>
        <x:v>12076060</x:v>
      </x:c>
      <x:c r="L103" s="9">
        <x:f>SUM(L87:L102)</x:f>
        <x:v>1207606</x:v>
      </x:c>
      <x:c r="M103" s="10">
        <x:f>SUM(M87:M102)</x:f>
        <x:v>13283666</x:v>
      </x:c>
      <x:c r="N103" s="11"/>
    </x:row>
    <x:row r="104" spans="1:14" ht="20.100000000000001" customHeight="1">
      <x:c r="A104" s="301" t="s">
        <x:v>153</x:v>
      </x:c>
      <x:c r="B104" s="3" t="s">
        <x:v>1677</x:v>
      </x:c>
      <x:c r="C104" s="3" t="s">
        <x:v>1096</x:v>
      </x:c>
      <x:c r="D104" s="4">
        <x:v>7810000</x:v>
      </x:c>
      <x:c r="E104" s="4"/>
      <x:c r="F104" s="5">
        <x:f>+D104+E104</x:f>
        <x:v>7810000</x:v>
      </x:c>
      <x:c r="G104" s="6"/>
      <x:c r="H104" s="301" t="s">
        <x:v>153</x:v>
      </x:c>
      <x:c r="I104" s="3" t="s">
        <x:v>1677</x:v>
      </x:c>
      <x:c r="J104" s="3" t="s">
        <x:v>1308</x:v>
      </x:c>
      <x:c r="K104" s="44">
        <x:v>14240000</x:v>
      </x:c>
      <x:c r="L104" s="44"/>
      <x:c r="M104" s="45">
        <x:f>+K104+L104</x:f>
        <x:v>14240000</x:v>
      </x:c>
      <x:c r="N104" s="37"/>
    </x:row>
    <x:row r="105" spans="1:14" ht="20.100000000000001" customHeight="1">
      <x:c r="A105" s="299"/>
      <x:c r="B105" s="3"/>
      <x:c r="C105" s="3"/>
      <x:c r="D105" s="4"/>
      <x:c r="E105" s="4"/>
      <x:c r="F105" s="5">
        <x:f>+D105+E105</x:f>
        <x:v>0</x:v>
      </x:c>
      <x:c r="G105" s="6"/>
      <x:c r="H105" s="299"/>
      <x:c r="I105" s="3" t="s">
        <x:v>960</x:v>
      </x:c>
      <x:c r="J105" s="3" t="s">
        <x:v>950</x:v>
      </x:c>
      <x:c r="K105" s="44">
        <x:v>3300000</x:v>
      </x:c>
      <x:c r="L105" s="44">
        <x:f>+K105*0.1</x:f>
        <x:v>330000</x:v>
      </x:c>
      <x:c r="M105" s="45">
        <x:f>+K105+L105</x:f>
        <x:v>3630000</x:v>
      </x:c>
      <x:c r="N105" s="37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300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0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7"/>
      <x:c r="B108" s="8"/>
      <x:c r="C108" s="8"/>
      <x:c r="D108" s="9">
        <x:f>SUM(D104:D107)</x:f>
        <x:v>7810000</x:v>
      </x:c>
      <x:c r="E108" s="9">
        <x:f>SUM(E104:E107)</x:f>
        <x:v>0</x:v>
      </x:c>
      <x:c r="F108" s="10">
        <x:f>SUM(F104:F107)</x:f>
        <x:v>7810000</x:v>
      </x:c>
      <x:c r="G108" s="11"/>
      <x:c r="H108" s="7" t="s">
        <x:v>155</x:v>
      </x:c>
      <x:c r="I108" s="8"/>
      <x:c r="J108" s="8"/>
      <x:c r="K108" s="9">
        <x:f>SUM(K104:K107)</x:f>
        <x:v>17540000</x:v>
      </x:c>
      <x:c r="L108" s="9">
        <x:f>SUM(L104:L107)</x:f>
        <x:v>330000</x:v>
      </x:c>
      <x:c r="M108" s="10">
        <x:f>SUM(M104:M107)</x:f>
        <x:v>17870000</x:v>
      </x:c>
      <x:c r="N108" s="11"/>
    </x:row>
    <x:row r="109" spans="1:14" ht="20.100000000000001" customHeight="1">
      <x:c r="A109" s="301" t="s">
        <x:v>187</x:v>
      </x:c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301" t="s">
        <x:v>187</x:v>
      </x:c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299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299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300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300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7"/>
      <x:c r="B113" s="8"/>
      <x:c r="C113" s="8"/>
      <x:c r="D113" s="9">
        <x:f>SUM(D109:D112)</x:f>
        <x:v>0</x:v>
      </x:c>
      <x:c r="E113" s="9">
        <x:f>SUM(E109:E112)</x:f>
        <x:v>0</x:v>
      </x:c>
      <x:c r="F113" s="10">
        <x:f>SUM(F109:F112)</x:f>
        <x:v>0</x:v>
      </x:c>
      <x:c r="G113" s="11"/>
      <x:c r="H113" s="7" t="s">
        <x:v>155</x:v>
      </x:c>
      <x:c r="I113" s="8"/>
      <x:c r="J113" s="8"/>
      <x:c r="K113" s="9">
        <x:f>SUM(K109:K112)</x:f>
        <x:v>0</x:v>
      </x:c>
      <x:c r="L113" s="9">
        <x:f>SUM(L109:L112)</x:f>
        <x:v>0</x:v>
      </x:c>
      <x:c r="M113" s="10">
        <x:f>SUM(M109:M112)</x:f>
        <x:v>0</x:v>
      </x:c>
      <x:c r="N113" s="11"/>
    </x:row>
    <x:row r="114" spans="1:14" ht="20.100000000000001" customHeight="1">
      <x:c r="A114" s="301" t="s">
        <x:v>149</x:v>
      </x:c>
      <x:c r="B114" s="3" t="s">
        <x:v>177</x:v>
      </x:c>
      <x:c r="C114" s="3" t="s">
        <x:v>149</x:v>
      </x:c>
      <x:c r="D114" s="4">
        <x:v>1097810</x:v>
      </x:c>
      <x:c r="E114" s="4"/>
      <x:c r="F114" s="5">
        <x:f>+D114+E114</x:f>
        <x:v>1097810</x:v>
      </x:c>
      <x:c r="G114" s="6"/>
      <x:c r="H114" s="301" t="s">
        <x:v>149</x:v>
      </x:c>
      <x:c r="I114" s="3" t="s">
        <x:v>248</x:v>
      </x:c>
      <x:c r="J114" s="3" t="s">
        <x:v>149</x:v>
      </x:c>
      <x:c r="K114" s="4">
        <x:v>7000</x:v>
      </x:c>
      <x:c r="L114" s="4"/>
      <x:c r="M114" s="5">
        <x:f t="shared" ref="M114:M123" si="17">+K114+L114</x:f>
        <x:v>7000</x:v>
      </x:c>
      <x:c r="N114" s="6"/>
    </x:row>
    <x:row r="115" spans="1:14" ht="20.100000000000001" customHeight="1">
      <x:c r="A115" s="299"/>
      <x:c r="B115" s="3" t="s">
        <x:v>601</x:v>
      </x:c>
      <x:c r="C115" s="3" t="s">
        <x:v>962</x:v>
      </x:c>
      <x:c r="D115" s="4">
        <x:v>168000</x:v>
      </x:c>
      <x:c r="E115" s="4">
        <x:f>+D115*0.1</x:f>
        <x:v>16800</x:v>
      </x:c>
      <x:c r="F115" s="5">
        <x:f>+D115+E115</x:f>
        <x:v>184800</x:v>
      </x:c>
      <x:c r="G115" s="6"/>
      <x:c r="H115" s="299"/>
      <x:c r="I115" s="3" t="s">
        <x:v>248</x:v>
      </x:c>
      <x:c r="J115" s="3" t="s">
        <x:v>1312</x:v>
      </x:c>
      <x:c r="K115" s="4">
        <x:v>397138</x:v>
      </x:c>
      <x:c r="L115" s="4">
        <x:v>39702</x:v>
      </x:c>
      <x:c r="M115" s="5">
        <x:f t="shared" si="17"/>
        <x:v>436840</x:v>
      </x:c>
      <x:c r="N115" s="6"/>
    </x:row>
    <x:row r="116" spans="1:14" ht="20.100000000000001" customHeight="1">
      <x:c r="A116" s="299"/>
      <x:c r="B116" s="3" t="s">
        <x:v>926</x:v>
      </x:c>
      <x:c r="C116" s="3" t="s">
        <x:v>927</x:v>
      </x:c>
      <x:c r="D116" s="4">
        <x:v>367870</x:v>
      </x:c>
      <x:c r="E116" s="4"/>
      <x:c r="F116" s="5">
        <x:f>+D116+E116</x:f>
        <x:v>367870</x:v>
      </x:c>
      <x:c r="G116" s="6"/>
      <x:c r="H116" s="299"/>
      <x:c r="I116" s="3" t="s">
        <x:v>284</x:v>
      </x:c>
      <x:c r="J116" s="3" t="s">
        <x:v>149</x:v>
      </x:c>
      <x:c r="K116" s="4">
        <x:v>1870</x:v>
      </x:c>
      <x:c r="L116" s="4"/>
      <x:c r="M116" s="5">
        <x:f t="shared" si="17"/>
        <x:v>1870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50000</x:v>
      </x:c>
      <x:c r="E117" s="4">
        <x:f>+D117*0.1</x:f>
        <x:v>5000</x:v>
      </x:c>
      <x:c r="F117" s="5">
        <x:f>+D117+E117</x:f>
        <x:v>55000</x:v>
      </x:c>
      <x:c r="G117" s="6"/>
      <x:c r="H117" s="299"/>
      <x:c r="I117" s="3" t="s">
        <x:v>249</x:v>
      </x:c>
      <x:c r="J117" s="3" t="s">
        <x:v>608</x:v>
      </x:c>
      <x:c r="K117" s="4">
        <x:v>550000</x:v>
      </x:c>
      <x:c r="L117" s="4"/>
      <x:c r="M117" s="5">
        <x:f t="shared" si="17"/>
        <x:v>550000</x:v>
      </x:c>
      <x:c r="N117" s="6"/>
    </x:row>
    <x:row r="118" spans="1:14" ht="20.100000000000001" customHeight="1">
      <x:c r="A118" s="299"/>
      <x:c r="B118" s="3" t="s">
        <x:v>947</x:v>
      </x:c>
      <x:c r="C118" s="3" t="s">
        <x:v>1333</x:v>
      </x:c>
      <x:c r="D118" s="4">
        <x:v>38000</x:v>
      </x:c>
      <x:c r="E118" s="4">
        <x:f>+D118*0.1</x:f>
        <x:v>3800</x:v>
      </x:c>
      <x:c r="F118" s="5">
        <x:f>+D118+E118</x:f>
        <x:v>41800</x:v>
      </x:c>
      <x:c r="G118" s="6"/>
      <x:c r="H118" s="299"/>
      <x:c r="I118" s="3" t="s">
        <x:v>947</x:v>
      </x:c>
      <x:c r="J118" s="3" t="s">
        <x:v>914</x:v>
      </x:c>
      <x:c r="K118" s="4">
        <x:v>100000</x:v>
      </x:c>
      <x:c r="L118" s="4">
        <x:f>+K118*0.1</x:f>
        <x:v>10000</x:v>
      </x:c>
      <x:c r="M118" s="5">
        <x:f t="shared" si="17"/>
        <x:v>110000</x:v>
      </x:c>
      <x:c r="N118" s="6"/>
    </x:row>
    <x:row r="119" spans="1:14" ht="20.100000000000001" customHeight="1">
      <x:c r="A119" s="299"/>
      <x:c r="B119" s="3"/>
      <x:c r="C119" s="3"/>
      <x:c r="D119" s="4" t="s">
        <x:v>222</x:v>
      </x:c>
      <x:c r="E119" s="4"/>
      <x:c r="F119" s="5"/>
      <x:c r="G119" s="6"/>
      <x:c r="H119" s="299"/>
      <x:c r="I119" s="3"/>
      <x:c r="J119" s="3"/>
      <x:c r="K119" s="4"/>
      <x:c r="L119" s="4">
        <x:f>+K119*0.1</x:f>
        <x:v>0</x:v>
      </x:c>
      <x:c r="M119" s="5">
        <x:f t="shared" si="17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>
        <x:f t="shared" si="17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/>
      <x:c r="G121" s="6"/>
      <x:c r="H121" s="299"/>
      <x:c r="I121" s="3"/>
      <x:c r="J121" s="3"/>
      <x:c r="K121" s="4"/>
      <x:c r="L121" s="4">
        <x:f>+K121*0.1</x:f>
        <x:v>0</x:v>
      </x:c>
      <x:c r="M121" s="5">
        <x:f t="shared" si="17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/>
      <x:c r="G122" s="6"/>
      <x:c r="H122" s="299"/>
      <x:c r="I122" s="3"/>
      <x:c r="J122" s="3"/>
      <x:c r="K122" s="4"/>
      <x:c r="L122" s="4"/>
      <x:c r="M122" s="5">
        <x:f t="shared" si="17"/>
        <x:v>0</x:v>
      </x:c>
      <x:c r="N122" s="6"/>
    </x:row>
    <x:row r="123" spans="1:14" ht="20.100000000000001" customHeight="1">
      <x:c r="A123" s="300"/>
      <x:c r="B123" s="3"/>
      <x:c r="C123" s="3"/>
      <x:c r="D123" s="4"/>
      <x:c r="E123" s="4"/>
      <x:c r="F123" s="5"/>
      <x:c r="G123" s="6"/>
      <x:c r="H123" s="300"/>
      <x:c r="I123" s="3"/>
      <x:c r="J123" s="3"/>
      <x:c r="K123" s="4"/>
      <x:c r="L123" s="4"/>
      <x:c r="M123" s="5">
        <x:f t="shared" si="17"/>
        <x:v>0</x:v>
      </x:c>
      <x:c r="N123" s="6"/>
    </x:row>
    <x:row r="124" spans="1:14" ht="20.100000000000001" customHeight="1">
      <x:c r="A124" s="7"/>
      <x:c r="B124" s="8"/>
      <x:c r="C124" s="8"/>
      <x:c r="D124" s="9">
        <x:f>SUM(D114:D123)</x:f>
        <x:v>1721680</x:v>
      </x:c>
      <x:c r="E124" s="9">
        <x:f>SUM(E114:E123)</x:f>
        <x:v>25600</x:v>
      </x:c>
      <x:c r="F124" s="10">
        <x:f>SUM(F114:F123)</x:f>
        <x:v>1747280</x:v>
      </x:c>
      <x:c r="G124" s="11"/>
      <x:c r="H124" s="7" t="s">
        <x:v>155</x:v>
      </x:c>
      <x:c r="I124" s="8"/>
      <x:c r="J124" s="8"/>
      <x:c r="K124" s="9">
        <x:f>SUM(K114:K123)</x:f>
        <x:v>1056008</x:v>
      </x:c>
      <x:c r="L124" s="9">
        <x:f>SUM(L114:L123)</x:f>
        <x:v>49702</x:v>
      </x:c>
      <x:c r="M124" s="10">
        <x:f>SUM(M114:M123)</x:f>
        <x:v>1105710</x:v>
      </x:c>
      <x:c r="N124" s="11"/>
    </x:row>
    <x:row r="125" spans="1:14" ht="20.100000000000001" customHeight="1">
      <x:c r="A125" s="12"/>
      <x:c r="B125" s="13"/>
      <x:c r="C125" s="13"/>
      <x:c r="D125" s="14">
        <x:f>+D103+D108+D113+D124</x:f>
        <x:v>14904075</x:v>
      </x:c>
      <x:c r="E125" s="14">
        <x:f>+E103+E108+E113+E124</x:f>
        <x:v>562838.5</x:v>
      </x:c>
      <x:c r="F125" s="15">
        <x:f>+F103+F108+F113+F124</x:f>
        <x:v>15466913.5</x:v>
      </x:c>
      <x:c r="G125" s="16"/>
      <x:c r="H125" s="12" t="s">
        <x:v>1690</x:v>
      </x:c>
      <x:c r="I125" s="13"/>
      <x:c r="J125" s="13"/>
      <x:c r="K125" s="14">
        <x:f>+K103+K108+K113+K124</x:f>
        <x:v>30672068</x:v>
      </x:c>
      <x:c r="L125" s="14">
        <x:f>+L103+L108+L113+L124</x:f>
        <x:v>1587308</x:v>
      </x:c>
      <x:c r="M125" s="15">
        <x:f>+M103+M108+M113+M124</x:f>
        <x:v>32259376</x:v>
      </x:c>
      <x:c r="N125" s="16"/>
    </x:row>
    <x:row r="126" spans="1:14" ht="20.100000000000001" customHeight="1">
      <x:c r="A126" s="23"/>
      <x:c r="B126" s="24"/>
      <x:c r="C126" s="24"/>
      <x:c r="D126" s="25">
        <x:f>+D86-D125</x:f>
        <x:v>-6904075</x:v>
      </x:c>
      <x:c r="E126" s="25">
        <x:f>+E86-E125</x:f>
        <x:v>237161.5</x:v>
      </x:c>
      <x:c r="F126" s="26">
        <x:f>+F86-F125</x:f>
        <x:v>-6666913.5</x:v>
      </x:c>
      <x:c r="G126" s="27"/>
      <x:c r="H126" s="23" t="s">
        <x:v>35</x:v>
      </x:c>
      <x:c r="I126" s="24"/>
      <x:c r="J126" s="24"/>
      <x:c r="K126" s="25">
        <x:f>+K86-K125</x:f>
        <x:v>-30672068</x:v>
      </x:c>
      <x:c r="L126" s="25">
        <x:f>+L86-L125</x:f>
        <x:v>-1587308</x:v>
      </x:c>
      <x:c r="M126" s="26">
        <x:f>+M86-M125</x:f>
        <x:v>-32259376</x:v>
      </x:c>
      <x:c r="N126" s="27"/>
    </x:row>
    <x:row r="127" spans="1:14" ht="20.100000000000001" customHeight="1">
      <x:c r="A127" s="302"/>
      <x:c r="B127" s="303"/>
      <x:c r="C127" s="303"/>
      <x:c r="D127" s="303"/>
      <x:c r="E127" s="303"/>
      <x:c r="F127" s="304"/>
      <x:c r="G127" s="305"/>
      <x:c r="H127" s="302"/>
      <x:c r="I127" s="303"/>
      <x:c r="J127" s="303"/>
      <x:c r="K127" s="303"/>
      <x:c r="L127" s="303"/>
      <x:c r="M127" s="304"/>
      <x:c r="N127" s="305"/>
    </x:row>
    <x:row r="128" spans="1:14" ht="20.100000000000001" customHeight="1">
      <x:c r="A128" s="29" t="s">
        <x:v>147</x:v>
      </x:c>
      <x:c r="B128" s="172" t="s">
        <x:v>144</x:v>
      </x:c>
      <x:c r="C128" s="172" t="s">
        <x:v>150</x:v>
      </x:c>
      <x:c r="D128" s="31" t="s">
        <x:v>145</x:v>
      </x:c>
      <x:c r="E128" s="31" t="s">
        <x:v>152</x:v>
      </x:c>
      <x:c r="F128" s="32" t="s">
        <x:v>146</x:v>
      </x:c>
      <x:c r="G128" s="33" t="s">
        <x:v>154</x:v>
      </x:c>
      <x:c r="H128" s="29" t="s">
        <x:v>147</x:v>
      </x:c>
      <x:c r="I128" s="172" t="s">
        <x:v>144</x:v>
      </x:c>
      <x:c r="J128" s="172" t="s">
        <x:v>150</x:v>
      </x:c>
      <x:c r="K128" s="31" t="s">
        <x:v>145</x:v>
      </x:c>
      <x:c r="L128" s="31" t="s">
        <x:v>152</x:v>
      </x:c>
      <x:c r="M128" s="31" t="s">
        <x:v>146</x:v>
      </x:c>
      <x:c r="N128" s="34" t="s">
        <x:v>154</x:v>
      </x:c>
    </x:row>
    <x:row r="129" spans="1:14" ht="20.100000000000001" customHeight="1">
      <x:c r="A129" s="171" t="s">
        <x:v>151</x:v>
      </x:c>
      <x:c r="B129" s="38"/>
      <x:c r="C129" s="38"/>
      <x:c r="D129" s="39"/>
      <x:c r="E129" s="39"/>
      <x:c r="F129" s="40">
        <x:f t="shared" ref="F129:F144" si="18">+D129+E129</x:f>
        <x:v>0</x:v>
      </x:c>
      <x:c r="G129" s="18"/>
      <x:c r="H129" s="41" t="s">
        <x:v>151</x:v>
      </x:c>
      <x:c r="I129" s="38"/>
      <x:c r="J129" s="38"/>
      <x:c r="K129" s="39"/>
      <x:c r="L129" s="39"/>
      <x:c r="M129" s="40">
        <x:f>+K129+L129</x:f>
        <x:v>0</x:v>
      </x:c>
      <x:c r="N129" s="42"/>
    </x:row>
    <x:row r="130" spans="1:14" ht="20.100000000000001" customHeight="1">
      <x:c r="A130" s="298" t="s">
        <x:v>148</x:v>
      </x:c>
      <x:c r="B130" s="54"/>
      <x:c r="C130" s="54"/>
      <x:c r="D130" s="93"/>
      <x:c r="E130" s="93">
        <x:f>+D130*0.1</x:f>
        <x:v>0</x:v>
      </x:c>
      <x:c r="F130" s="94">
        <x:f t="shared" si="18"/>
        <x:v>0</x:v>
      </x:c>
      <x:c r="G130" s="95"/>
      <x:c r="H130" s="298" t="s">
        <x:v>148</x:v>
      </x:c>
      <x:c r="I130" s="19"/>
      <x:c r="J130" s="19"/>
      <x:c r="K130" s="20"/>
      <x:c r="L130" s="20">
        <x:f>+K130*0.1</x:f>
        <x:v>0</x:v>
      </x:c>
      <x:c r="M130" s="21">
        <x:f t="shared" ref="M130:M145" si="19">+K130+L130</x:f>
        <x:v>0</x:v>
      </x:c>
      <x:c r="N130" s="22"/>
    </x:row>
    <x:row r="131" spans="1:14" ht="20.100000000000001" customHeight="1">
      <x:c r="A131" s="299"/>
      <x:c r="B131" s="155"/>
      <x:c r="C131" s="155"/>
      <x:c r="D131" s="156"/>
      <x:c r="E131" s="4">
        <x:f>+D131*0.1</x:f>
        <x:v>0</x:v>
      </x:c>
      <x:c r="F131" s="5">
        <x:f t="shared" si="18"/>
        <x:v>0</x:v>
      </x:c>
      <x:c r="G131" s="158"/>
      <x:c r="H131" s="299"/>
      <x:c r="I131" s="3"/>
      <x:c r="J131" s="3"/>
      <x:c r="K131" s="4"/>
      <x:c r="L131" s="4">
        <x:f>K131*0.1</x:f>
        <x:v>0</x:v>
      </x:c>
      <x:c r="M131" s="5">
        <x:f t="shared" si="19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>+D132*0.1</x:f>
        <x:v>0</x:v>
      </x:c>
      <x:c r="F132" s="5">
        <x:f t="shared" si="18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19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>+D133*0.1</x:f>
        <x:v>0</x:v>
      </x:c>
      <x:c r="F133" s="5">
        <x:f t="shared" si="18"/>
        <x:v>0</x:v>
      </x:c>
      <x:c r="G133" s="6"/>
      <x:c r="H133" s="299"/>
      <x:c r="I133" s="3"/>
      <x:c r="J133" s="3"/>
      <x:c r="K133" s="4"/>
      <x:c r="L133" s="4">
        <x:f>+K133*0.1</x:f>
        <x:v>0</x:v>
      </x:c>
      <x:c r="M133" s="5">
        <x:f t="shared" si="19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>+INT(D134*0.1)</x:f>
        <x:v>0</x:v>
      </x:c>
      <x:c r="F134" s="5">
        <x:f t="shared" si="18"/>
        <x:v>0</x:v>
      </x:c>
      <x:c r="G134" s="6"/>
      <x:c r="H134" s="299"/>
      <x:c r="I134" s="3"/>
      <x:c r="J134" s="3"/>
      <x:c r="K134" s="4"/>
      <x:c r="L134" s="4">
        <x:f>+K134*0.1</x:f>
        <x:v>0</x:v>
      </x:c>
      <x:c r="M134" s="5">
        <x:f t="shared" si="19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ref="E135:E144" si="20">+INT(D135*0.1)</x:f>
        <x:v>0</x:v>
      </x:c>
      <x:c r="F135" s="5">
        <x:f t="shared" si="18"/>
        <x:v>0</x:v>
      </x:c>
      <x:c r="G135" s="6"/>
      <x:c r="H135" s="299"/>
      <x:c r="I135" s="3"/>
      <x:c r="J135" s="3"/>
      <x:c r="K135" s="4"/>
      <x:c r="L135" s="4">
        <x:f t="shared" ref="L135:L145" si="21">+K135*0.1</x:f>
        <x:v>0</x:v>
      </x:c>
      <x:c r="M135" s="5">
        <x:f t="shared" si="19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0"/>
        <x:v>0</x:v>
      </x:c>
      <x:c r="F136" s="5">
        <x:f t="shared" si="18"/>
        <x:v>0</x:v>
      </x:c>
      <x:c r="G136" s="6"/>
      <x:c r="H136" s="299"/>
      <x:c r="I136" s="3"/>
      <x:c r="J136" s="3"/>
      <x:c r="K136" s="4"/>
      <x:c r="L136" s="4">
        <x:f t="shared" si="21"/>
        <x:v>0</x:v>
      </x:c>
      <x:c r="M136" s="5">
        <x:f t="shared" si="19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0"/>
        <x:v>0</x:v>
      </x:c>
      <x:c r="F137" s="5">
        <x:f t="shared" si="18"/>
        <x:v>0</x:v>
      </x:c>
      <x:c r="G137" s="6"/>
      <x:c r="H137" s="299"/>
      <x:c r="I137" s="3"/>
      <x:c r="J137" s="3"/>
      <x:c r="K137" s="4"/>
      <x:c r="L137" s="4">
        <x:f t="shared" si="21"/>
        <x:v>0</x:v>
      </x:c>
      <x:c r="M137" s="5">
        <x:f t="shared" si="19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/>
      <x:c r="F138" s="5"/>
      <x:c r="G138" s="6"/>
      <x:c r="H138" s="299"/>
      <x:c r="I138" s="3"/>
      <x:c r="J138" s="3"/>
      <x:c r="K138" s="4"/>
      <x:c r="L138" s="4"/>
      <x:c r="M138" s="5"/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0"/>
        <x:v>0</x:v>
      </x:c>
      <x:c r="F139" s="5">
        <x:f t="shared" si="18"/>
        <x:v>0</x:v>
      </x:c>
      <x:c r="G139" s="6"/>
      <x:c r="H139" s="299"/>
      <x:c r="I139" s="3"/>
      <x:c r="J139" s="3"/>
      <x:c r="K139" s="4"/>
      <x:c r="L139" s="4">
        <x:f t="shared" si="21"/>
        <x:v>0</x:v>
      </x:c>
      <x:c r="M139" s="5">
        <x:f t="shared" si="19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0"/>
        <x:v>0</x:v>
      </x:c>
      <x:c r="F140" s="5">
        <x:f t="shared" si="18"/>
        <x:v>0</x:v>
      </x:c>
      <x:c r="G140" s="6"/>
      <x:c r="H140" s="299"/>
      <x:c r="I140" s="3"/>
      <x:c r="J140" s="3"/>
      <x:c r="K140" s="4"/>
      <x:c r="L140" s="4">
        <x:f t="shared" si="21"/>
        <x:v>0</x:v>
      </x:c>
      <x:c r="M140" s="5">
        <x:f t="shared" si="19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0"/>
        <x:v>0</x:v>
      </x:c>
      <x:c r="F141" s="5">
        <x:f t="shared" si="18"/>
        <x:v>0</x:v>
      </x:c>
      <x:c r="G141" s="6"/>
      <x:c r="H141" s="299"/>
      <x:c r="I141" s="3"/>
      <x:c r="J141" s="3"/>
      <x:c r="K141" s="4"/>
      <x:c r="L141" s="4">
        <x:f t="shared" si="21"/>
        <x:v>0</x:v>
      </x:c>
      <x:c r="M141" s="5">
        <x:f t="shared" si="19"/>
        <x:v>0</x:v>
      </x:c>
      <x:c r="N141" s="6"/>
    </x:row>
    <x:row r="142" spans="1:14" ht="20.100000000000001" customHeight="1">
      <x:c r="A142" s="299"/>
      <x:c r="B142" s="3"/>
      <x:c r="C142" s="3"/>
      <x:c r="D142" s="4"/>
      <x:c r="E142" s="4">
        <x:f t="shared" si="20"/>
        <x:v>0</x:v>
      </x:c>
      <x:c r="F142" s="5">
        <x:f t="shared" si="18"/>
        <x:v>0</x:v>
      </x:c>
      <x:c r="G142" s="6"/>
      <x:c r="H142" s="299"/>
      <x:c r="I142" s="3"/>
      <x:c r="J142" s="3"/>
      <x:c r="K142" s="4"/>
      <x:c r="L142" s="4">
        <x:f t="shared" si="21"/>
        <x:v>0</x:v>
      </x:c>
      <x:c r="M142" s="5">
        <x:f t="shared" si="19"/>
        <x:v>0</x:v>
      </x:c>
      <x:c r="N142" s="6"/>
    </x:row>
    <x:row r="143" spans="1:14" ht="20.100000000000001" customHeight="1">
      <x:c r="A143" s="299"/>
      <x:c r="B143" s="3"/>
      <x:c r="C143" s="3"/>
      <x:c r="D143" s="4"/>
      <x:c r="E143" s="4">
        <x:f t="shared" si="20"/>
        <x:v>0</x:v>
      </x:c>
      <x:c r="F143" s="5">
        <x:f t="shared" si="18"/>
        <x:v>0</x:v>
      </x:c>
      <x:c r="G143" s="6"/>
      <x:c r="H143" s="299"/>
      <x:c r="I143" s="3"/>
      <x:c r="J143" s="3"/>
      <x:c r="K143" s="4"/>
      <x:c r="L143" s="4">
        <x:f t="shared" si="21"/>
        <x:v>0</x:v>
      </x:c>
      <x:c r="M143" s="5">
        <x:f t="shared" si="19"/>
        <x:v>0</x:v>
      </x:c>
      <x:c r="N143" s="6"/>
    </x:row>
    <x:row r="144" spans="1:14" ht="20.100000000000001" customHeight="1">
      <x:c r="A144" s="299"/>
      <x:c r="B144" s="3"/>
      <x:c r="C144" s="3"/>
      <x:c r="D144" s="4"/>
      <x:c r="E144" s="4">
        <x:f t="shared" si="20"/>
        <x:v>0</x:v>
      </x:c>
      <x:c r="F144" s="5">
        <x:f t="shared" si="18"/>
        <x:v>0</x:v>
      </x:c>
      <x:c r="G144" s="6"/>
      <x:c r="H144" s="299"/>
      <x:c r="I144" s="3"/>
      <x:c r="J144" s="3"/>
      <x:c r="K144" s="4"/>
      <x:c r="L144" s="4">
        <x:f t="shared" si="21"/>
        <x:v>0</x:v>
      </x:c>
      <x:c r="M144" s="5">
        <x:f t="shared" si="19"/>
        <x:v>0</x:v>
      </x:c>
      <x:c r="N144" s="6"/>
    </x:row>
    <x:row r="145" spans="1:14" ht="20.100000000000001" customHeight="1">
      <x:c r="A145" s="300"/>
      <x:c r="B145" s="3"/>
      <x:c r="C145" s="3"/>
      <x:c r="D145" s="4"/>
      <x:c r="E145" s="4"/>
      <x:c r="F145" s="5"/>
      <x:c r="G145" s="6"/>
      <x:c r="H145" s="300"/>
      <x:c r="I145" s="3"/>
      <x:c r="J145" s="3"/>
      <x:c r="K145" s="4"/>
      <x:c r="L145" s="4">
        <x:f t="shared" si="21"/>
        <x:v>0</x:v>
      </x:c>
      <x:c r="M145" s="5">
        <x:f t="shared" si="19"/>
        <x:v>0</x:v>
      </x:c>
      <x:c r="N145" s="6"/>
    </x:row>
    <x:row r="146" spans="1:14" ht="20.100000000000001" customHeight="1">
      <x:c r="A146" s="7" t="s">
        <x:v>155</x:v>
      </x:c>
      <x:c r="B146" s="8"/>
      <x:c r="C146" s="8"/>
      <x:c r="D146" s="9">
        <x:f>SUM(D130:D145)</x:f>
        <x:v>0</x:v>
      </x:c>
      <x:c r="E146" s="9">
        <x:f>SUM(E130:E145)</x:f>
        <x:v>0</x:v>
      </x:c>
      <x:c r="F146" s="10">
        <x:f>SUM(F130:F145)</x:f>
        <x:v>0</x:v>
      </x:c>
      <x:c r="G146" s="11"/>
      <x:c r="H146" s="7"/>
      <x:c r="I146" s="8"/>
      <x:c r="J146" s="8"/>
      <x:c r="K146" s="9">
        <x:f>SUM(K130:K145)</x:f>
        <x:v>0</x:v>
      </x:c>
      <x:c r="L146" s="9">
        <x:f>SUM(L130:L145)</x:f>
        <x:v>0</x:v>
      </x:c>
      <x:c r="M146" s="10">
        <x:f>SUM(M130:M145)</x:f>
        <x:v>0</x:v>
      </x:c>
      <x:c r="N146" s="11"/>
    </x:row>
    <x:row r="147" spans="1:14" ht="20.100000000000001" customHeight="1">
      <x:c r="A147" s="301" t="s">
        <x:v>153</x:v>
      </x:c>
      <x:c r="B147" s="3"/>
      <x:c r="C147" s="3"/>
      <x:c r="D147" s="44"/>
      <x:c r="E147" s="44"/>
      <x:c r="F147" s="45">
        <x:f>+D147+E147</x:f>
        <x:v>0</x:v>
      </x:c>
      <x:c r="G147" s="37"/>
      <x:c r="H147" s="301" t="s">
        <x:v>153</x:v>
      </x:c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299"/>
      <x:c r="B148" s="3"/>
      <x:c r="C148" s="3"/>
      <x:c r="D148" s="44"/>
      <x:c r="E148" s="44">
        <x:f>+D148*0.1</x:f>
        <x:v>0</x:v>
      </x:c>
      <x:c r="F148" s="45">
        <x:f>+D148+E148</x:f>
        <x:v>0</x:v>
      </x:c>
      <x:c r="G148" s="37"/>
      <x:c r="H148" s="299"/>
      <x:c r="I148" s="3"/>
      <x:c r="J148" s="3"/>
      <x:c r="K148" s="4"/>
      <x:c r="L148" s="4">
        <x:f>+K148*0.1</x:f>
        <x:v>0</x:v>
      </x:c>
      <x:c r="M148" s="5">
        <x:f>+K148+L148</x:f>
        <x:v>0</x:v>
      </x:c>
      <x:c r="N148" s="6"/>
    </x:row>
    <x:row r="149" spans="1:14" ht="20.100000000000001" customHeight="1">
      <x:c r="A149" s="299"/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299"/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300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300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7" t="s">
        <x:v>155</x:v>
      </x:c>
      <x:c r="B151" s="8"/>
      <x:c r="C151" s="8"/>
      <x:c r="D151" s="9">
        <x:f>SUM(D147:D150)</x:f>
        <x:v>0</x:v>
      </x:c>
      <x:c r="E151" s="9">
        <x:f>SUM(E147:E150)</x:f>
        <x:v>0</x:v>
      </x:c>
      <x:c r="F151" s="10">
        <x:f>SUM(F147:F150)</x:f>
        <x:v>0</x:v>
      </x:c>
      <x:c r="G151" s="11"/>
      <x:c r="H151" s="7"/>
      <x:c r="I151" s="8"/>
      <x:c r="J151" s="8"/>
      <x:c r="K151" s="9">
        <x:f>SUM(K147:K150)</x:f>
        <x:v>0</x:v>
      </x:c>
      <x:c r="L151" s="9">
        <x:f>SUM(L147:L150)</x:f>
        <x:v>0</x:v>
      </x:c>
      <x:c r="M151" s="10">
        <x:f>SUM(M147:M150)</x:f>
        <x:v>0</x:v>
      </x:c>
      <x:c r="N151" s="11"/>
    </x:row>
    <x:row r="152" spans="1:14" ht="20.100000000000001" customHeight="1">
      <x:c r="A152" s="301" t="s">
        <x:v>187</x:v>
      </x:c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1" t="s">
        <x:v>187</x:v>
      </x:c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299"/>
      <x:c r="B153" s="3"/>
      <x:c r="C153" s="3"/>
      <x:c r="D153" s="4"/>
      <x:c r="E153" s="4">
        <x:f>+D153*0.1</x:f>
        <x:v>0</x:v>
      </x:c>
      <x:c r="F153" s="5">
        <x:f>+D153+E153</x:f>
        <x:v>0</x:v>
      </x:c>
      <x:c r="G153" s="6"/>
      <x:c r="H153" s="299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</x:row>
    <x:row r="154" spans="1:14" ht="20.100000000000001" customHeight="1">
      <x:c r="A154" s="299"/>
      <x:c r="B154" s="3"/>
      <x:c r="C154" s="3"/>
      <x:c r="D154" s="4"/>
      <x:c r="E154" s="4">
        <x:f>+D154*0.1</x:f>
        <x:v>0</x:v>
      </x:c>
      <x:c r="F154" s="5">
        <x:f>+D154+E154</x:f>
        <x:v>0</x:v>
      </x:c>
      <x:c r="G154" s="6"/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</x:row>
    <x:row r="155" spans="1:14" ht="20.100000000000001" customHeight="1">
      <x:c r="A155" s="300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300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</x:row>
    <x:row r="156" spans="1:14" ht="20.100000000000001" customHeight="1">
      <x:c r="A156" s="7" t="s">
        <x:v>155</x:v>
      </x:c>
      <x:c r="B156" s="8"/>
      <x:c r="C156" s="8"/>
      <x:c r="D156" s="9">
        <x:f>SUM(D152:D155)</x:f>
        <x:v>0</x:v>
      </x:c>
      <x:c r="E156" s="9">
        <x:f>SUM(E152:E155)</x:f>
        <x:v>0</x:v>
      </x:c>
      <x:c r="F156" s="10">
        <x:f>SUM(F152:F155)</x:f>
        <x:v>0</x:v>
      </x:c>
      <x:c r="G156" s="11"/>
      <x:c r="H156" s="7"/>
      <x:c r="I156" s="8"/>
      <x:c r="J156" s="8"/>
      <x:c r="K156" s="9">
        <x:f>SUM(K152:K155)</x:f>
        <x:v>0</x:v>
      </x:c>
      <x:c r="L156" s="9">
        <x:f>SUM(L152:L155)</x:f>
        <x:v>0</x:v>
      </x:c>
      <x:c r="M156" s="10">
        <x:f>SUM(M152:M155)</x:f>
        <x:v>0</x:v>
      </x:c>
      <x:c r="N156" s="11"/>
    </x:row>
    <x:row r="157" spans="1:14" ht="20.100000000000001" customHeight="1">
      <x:c r="A157" s="301" t="s">
        <x:v>149</x:v>
      </x:c>
      <x:c r="B157" s="3"/>
      <x:c r="C157" s="3"/>
      <x:c r="D157" s="4"/>
      <x:c r="E157" s="4">
        <x:f>+D157*0.1</x:f>
        <x:v>0</x:v>
      </x:c>
      <x:c r="F157" s="5">
        <x:f>+D157+E157</x:f>
        <x:v>0</x:v>
      </x:c>
      <x:c r="G157" s="6"/>
      <x:c r="H157" s="301" t="s">
        <x:v>149</x:v>
      </x:c>
      <x:c r="I157" s="3"/>
      <x:c r="J157" s="3"/>
      <x:c r="K157" s="4"/>
      <x:c r="L157" s="4"/>
      <x:c r="M157" s="5">
        <x:f t="shared" ref="M157:M164" si="22">+K157+L157</x:f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>+D158+E158</x:f>
        <x:v>0</x:v>
      </x:c>
      <x:c r="G158" s="6"/>
      <x:c r="H158" s="299"/>
      <x:c r="I158" s="3"/>
      <x:c r="J158" s="3"/>
      <x:c r="K158" s="4"/>
      <x:c r="L158" s="4">
        <x:f>+K158*0.1</x:f>
        <x:v>0</x:v>
      </x:c>
      <x:c r="M158" s="5">
        <x:f t="shared" si="22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>+D159+E159</x:f>
        <x:v>0</x:v>
      </x:c>
      <x:c r="G159" s="6"/>
      <x:c r="H159" s="299"/>
      <x:c r="I159" s="3"/>
      <x:c r="J159" s="3"/>
      <x:c r="K159" s="4"/>
      <x:c r="L159" s="4">
        <x:f>+K159*0.1</x:f>
        <x:v>0</x:v>
      </x:c>
      <x:c r="M159" s="5">
        <x:f t="shared" si="22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ref="F160:F166" si="23"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 t="shared" si="22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3"/>
        <x:v>0</x:v>
      </x:c>
      <x:c r="G161" s="6"/>
      <x:c r="H161" s="299"/>
      <x:c r="I161" s="3"/>
      <x:c r="J161" s="3"/>
      <x:c r="K161" s="4"/>
      <x:c r="L161" s="4">
        <x:f t="shared" ref="L161:L166" si="24">+K161*0.1</x:f>
        <x:v>0</x:v>
      </x:c>
      <x:c r="M161" s="5">
        <x:f t="shared" si="22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 t="shared" si="23"/>
        <x:v>0</x:v>
      </x:c>
      <x:c r="G162" s="6"/>
      <x:c r="H162" s="299"/>
      <x:c r="I162" s="3"/>
      <x:c r="J162" s="3"/>
      <x:c r="K162" s="4"/>
      <x:c r="L162" s="4">
        <x:f t="shared" si="24"/>
        <x:v>0</x:v>
      </x:c>
      <x:c r="M162" s="5">
        <x:f t="shared" si="22"/>
        <x:v>0</x:v>
      </x:c>
      <x:c r="N162" s="6"/>
    </x:row>
    <x:row r="163" spans="1:14" ht="20.100000000000001" customHeight="1">
      <x:c r="A163" s="299"/>
      <x:c r="B163" s="3"/>
      <x:c r="C163" s="3"/>
      <x:c r="D163" s="4"/>
      <x:c r="E163" s="4">
        <x:f>+D163*0.1</x:f>
        <x:v>0</x:v>
      </x:c>
      <x:c r="F163" s="5">
        <x:f t="shared" si="23"/>
        <x:v>0</x:v>
      </x:c>
      <x:c r="G163" s="6"/>
      <x:c r="H163" s="299"/>
      <x:c r="I163" s="3"/>
      <x:c r="J163" s="3"/>
      <x:c r="K163" s="4"/>
      <x:c r="L163" s="4">
        <x:f t="shared" si="24"/>
        <x:v>0</x:v>
      </x:c>
      <x:c r="M163" s="5">
        <x:f t="shared" si="22"/>
        <x:v>0</x:v>
      </x:c>
      <x:c r="N163" s="6"/>
    </x:row>
    <x:row r="164" spans="1:14" ht="20.100000000000001" customHeight="1">
      <x:c r="A164" s="299"/>
      <x:c r="B164" s="3"/>
      <x:c r="C164" s="3"/>
      <x:c r="D164" s="4"/>
      <x:c r="E164" s="4"/>
      <x:c r="F164" s="5">
        <x:f t="shared" si="23"/>
        <x:v>0</x:v>
      </x:c>
      <x:c r="G164" s="6"/>
      <x:c r="H164" s="299"/>
      <x:c r="I164" s="3"/>
      <x:c r="J164" s="3"/>
      <x:c r="K164" s="4"/>
      <x:c r="L164" s="4">
        <x:f t="shared" si="24"/>
        <x:v>0</x:v>
      </x:c>
      <x:c r="M164" s="5">
        <x:f t="shared" si="22"/>
        <x:v>0</x:v>
      </x:c>
      <x:c r="N164" s="6"/>
    </x:row>
    <x:row r="165" spans="1:14" ht="20.100000000000001" customHeight="1">
      <x:c r="A165" s="299"/>
      <x:c r="B165" s="3"/>
      <x:c r="C165" s="3"/>
      <x:c r="D165" s="4"/>
      <x:c r="E165" s="4"/>
      <x:c r="F165" s="5">
        <x:f t="shared" si="23"/>
        <x:v>0</x:v>
      </x:c>
      <x:c r="G165" s="6"/>
      <x:c r="H165" s="299"/>
      <x:c r="I165" s="3"/>
      <x:c r="J165" s="3"/>
      <x:c r="K165" s="4"/>
      <x:c r="L165" s="4">
        <x:f t="shared" si="24"/>
        <x:v>0</x:v>
      </x:c>
      <x:c r="M165" s="5"/>
      <x:c r="N165" s="6"/>
    </x:row>
    <x:row r="166" spans="1:14" ht="20.100000000000001" customHeight="1">
      <x:c r="A166" s="300"/>
      <x:c r="B166" s="3"/>
      <x:c r="C166" s="3"/>
      <x:c r="D166" s="4"/>
      <x:c r="E166" s="4"/>
      <x:c r="F166" s="5">
        <x:f t="shared" si="23"/>
        <x:v>0</x:v>
      </x:c>
      <x:c r="G166" s="6"/>
      <x:c r="H166" s="300"/>
      <x:c r="I166" s="3"/>
      <x:c r="J166" s="3"/>
      <x:c r="K166" s="4"/>
      <x:c r="L166" s="4">
        <x:f t="shared" si="24"/>
        <x:v>0</x:v>
      </x:c>
      <x:c r="M166" s="5">
        <x:f>+K166+L166</x:f>
        <x:v>0</x:v>
      </x:c>
      <x:c r="N166" s="6"/>
    </x:row>
    <x:row r="167" spans="1:14" ht="20.100000000000001" customHeight="1">
      <x:c r="A167" s="7" t="s">
        <x:v>155</x:v>
      </x:c>
      <x:c r="B167" s="8"/>
      <x:c r="C167" s="8"/>
      <x:c r="D167" s="9">
        <x:f>SUM(D157:D166)</x:f>
        <x:v>0</x:v>
      </x:c>
      <x:c r="E167" s="9">
        <x:f>SUM(E157:E166)</x:f>
        <x:v>0</x:v>
      </x:c>
      <x:c r="F167" s="10">
        <x:f>SUM(F157:F166)</x:f>
        <x:v>0</x:v>
      </x:c>
      <x:c r="G167" s="11"/>
      <x:c r="H167" s="7"/>
      <x:c r="I167" s="8"/>
      <x:c r="J167" s="8"/>
      <x:c r="K167" s="9">
        <x:f>SUM(K157:K166)</x:f>
        <x:v>0</x:v>
      </x:c>
      <x:c r="L167" s="9">
        <x:f>SUM(L157:L166)</x:f>
        <x:v>0</x:v>
      </x:c>
      <x:c r="M167" s="10">
        <x:f>SUM(M157:M166)</x:f>
        <x:v>0</x:v>
      </x:c>
      <x:c r="N167" s="11"/>
    </x:row>
    <x:row r="168" spans="1:14" ht="20.100000000000001" customHeight="1">
      <x:c r="A168" s="12" t="s">
        <x:v>1690</x:v>
      </x:c>
      <x:c r="B168" s="13"/>
      <x:c r="C168" s="13"/>
      <x:c r="D168" s="14">
        <x:f>+D146+D151+D156+D167</x:f>
        <x:v>0</x:v>
      </x:c>
      <x:c r="E168" s="14">
        <x:f>+E146+E151+E156+E167</x:f>
        <x:v>0</x:v>
      </x:c>
      <x:c r="F168" s="15">
        <x:f>+F146+F151+F156+F167</x:f>
        <x:v>0</x:v>
      </x:c>
      <x:c r="G168" s="16"/>
      <x:c r="H168" s="12"/>
      <x:c r="I168" s="13"/>
      <x:c r="J168" s="13"/>
      <x:c r="K168" s="14">
        <x:f>+K146+K151+K156+K167</x:f>
        <x:v>0</x:v>
      </x:c>
      <x:c r="L168" s="14">
        <x:f>+L146+L151+L156+L167</x:f>
        <x:v>0</x:v>
      </x:c>
      <x:c r="M168" s="15">
        <x:f>+M146+M151+M156+M167</x:f>
        <x:v>0</x:v>
      </x:c>
      <x:c r="N168" s="16"/>
    </x:row>
    <x:row r="169" spans="1:14" ht="20.100000000000001" customHeight="1">
      <x:c r="A169" s="23" t="s">
        <x:v>35</x:v>
      </x:c>
      <x:c r="B169" s="24"/>
      <x:c r="C169" s="24"/>
      <x:c r="D169" s="25">
        <x:f>+D129-D168</x:f>
        <x:v>0</x:v>
      </x:c>
      <x:c r="E169" s="25">
        <x:f>+E129-E168</x:f>
        <x:v>0</x:v>
      </x:c>
      <x:c r="F169" s="26">
        <x:f>+F129-F168</x:f>
        <x:v>0</x:v>
      </x:c>
      <x:c r="G169" s="27"/>
      <x:c r="H169" s="23"/>
      <x:c r="I169" s="24"/>
      <x:c r="J169" s="24"/>
      <x:c r="K169" s="25">
        <x:f>+K129-K168</x:f>
        <x:v>0</x:v>
      </x:c>
      <x:c r="L169" s="25">
        <x:f>+L129-L168</x:f>
        <x:v>0</x:v>
      </x:c>
      <x:c r="M169" s="26">
        <x:f>+M129-M168</x:f>
        <x:v>0</x:v>
      </x:c>
      <x:c r="N169" s="27"/>
    </x:row>
    <x:row r="172" spans="1:13">
      <x:c r="A172" s="1" t="s">
        <x:v>148</x:v>
      </x:c>
      <x:c r="D172" s="2">
        <x:f>+D17+D60+D103+D146</x:f>
        <x:v>7308095</x:v>
      </x:c>
      <x:c r="E172" s="2">
        <x:f>+E17+E60+E103+E146</x:f>
        <x:v>710808.5</x:v>
      </x:c>
      <x:c r="F172" s="2">
        <x:f>+F17+F60+F103+F146</x:f>
        <x:v>8018903.5</x:v>
      </x:c>
      <x:c r="K172" s="2">
        <x:f>+K17+K60+K103+K146</x:f>
        <x:v>29642123</x:v>
      </x:c>
      <x:c r="L172" s="2">
        <x:f>+L17+L60+L103+L146</x:f>
        <x:v>2964210.2999999998</x:v>
      </x:c>
      <x:c r="M172" s="2">
        <x:f>+M17+M60+M103+M146</x:f>
        <x:v>32606333.300000001</x:v>
      </x:c>
    </x:row>
    <x:row r="173" spans="1:13">
      <x:c r="A173" s="1" t="s">
        <x:v>153</x:v>
      </x:c>
      <x:c r="D173" s="2">
        <x:f>+D22+D65+D108+D151</x:f>
        <x:v>62045000</x:v>
      </x:c>
      <x:c r="E173" s="2">
        <x:f>+E22+E65+E108+E151</x:f>
        <x:v>0</x:v>
      </x:c>
      <x:c r="F173" s="2">
        <x:f>+F22+F65+F108+F151</x:f>
        <x:v>62045000</x:v>
      </x:c>
      <x:c r="K173" s="2">
        <x:f>+K22+K65+K108+K151</x:f>
        <x:v>45480000</x:v>
      </x:c>
      <x:c r="L173" s="2">
        <x:f>+L22+L65+L108+L151</x:f>
        <x:v>330000</x:v>
      </x:c>
      <x:c r="M173" s="2">
        <x:f>+M22+M65+M108+M151</x:f>
        <x:v>45810000</x:v>
      </x:c>
    </x:row>
    <x:row r="174" spans="1:13" s="2" customFormat="1">
      <x:c r="A174" s="1" t="s">
        <x:v>187</x:v>
      </x:c>
      <x:c r="B174" s="1"/>
      <x:c r="C174" s="1"/>
      <x:c r="D174" s="2">
        <x:f>+D27+D70+D113+D156</x:f>
        <x:v>300000</x:v>
      </x:c>
      <x:c r="E174" s="2">
        <x:f>+E27+E70+E113+E156</x:f>
        <x:v>30000</x:v>
      </x:c>
      <x:c r="F174" s="2">
        <x:f>+F27+F70+F113+F156</x:f>
        <x:v>330000</x:v>
      </x:c>
      <x:c r="H174" s="1"/>
      <x:c r="I174" s="1"/>
      <x:c r="J174" s="1"/>
      <x:c r="K174" s="2">
        <x:f>+K27+K70+K113+K156</x:f>
        <x:v>650000</x:v>
      </x:c>
      <x:c r="L174" s="2">
        <x:f>+L27+L70+L113+L156</x:f>
        <x:v>65000</x:v>
      </x:c>
      <x:c r="M174" s="2">
        <x:f>+M27+M70+M113+M156</x:f>
        <x:v>715000</x:v>
      </x:c>
    </x:row>
    <x:row r="175" spans="1:13" s="2" customFormat="1">
      <x:c r="A175" s="1" t="s">
        <x:v>149</x:v>
      </x:c>
      <x:c r="B175" s="1"/>
      <x:c r="C175" s="1"/>
      <x:c r="D175" s="2">
        <x:f>+D38+D81+D124+D167</x:f>
        <x:v>7663282</x:v>
      </x:c>
      <x:c r="E175" s="2">
        <x:f>+E38+E81+E124+E167</x:f>
        <x:v>394618</x:v>
      </x:c>
      <x:c r="F175" s="2">
        <x:f>+F38+F81+F124+F167</x:f>
        <x:v>8057900</x:v>
      </x:c>
      <x:c r="H175" s="1"/>
      <x:c r="I175" s="1"/>
      <x:c r="J175" s="1"/>
      <x:c r="K175" s="2">
        <x:f>+K38+K81+K124+K167</x:f>
        <x:v>8427931</x:v>
      </x:c>
      <x:c r="L175" s="2">
        <x:f>+L38+L81+L124+L167</x:f>
        <x:v>649939</x:v>
      </x:c>
      <x:c r="M175" s="2">
        <x:f>+M38+M81+M124+M167</x:f>
        <x:v>9077870</x:v>
      </x:c>
    </x:row>
    <x:row r="176" spans="1:13" s="2" customFormat="1">
      <x:c r="A176" s="1" t="s">
        <x:v>202</x:v>
      </x:c>
      <x:c r="B176" s="1"/>
      <x:c r="C176" s="1"/>
      <x:c r="D176" s="2">
        <x:f>SUM(D172:D175)</x:f>
        <x:v>77316377</x:v>
      </x:c>
      <x:c r="E176" s="2">
        <x:f>SUM(E172:E175)</x:f>
        <x:v>1135426.5</x:v>
      </x:c>
      <x:c r="F176" s="2">
        <x:f>SUM(F172:F175)</x:f>
        <x:v>78451803.5</x:v>
      </x:c>
      <x:c r="H176" s="1"/>
      <x:c r="I176" s="1"/>
      <x:c r="J176" s="1"/>
      <x:c r="K176" s="2">
        <x:f>SUM(K172:K175)</x:f>
        <x:v>84200054</x:v>
      </x:c>
      <x:c r="L176" s="2">
        <x:f>SUM(L172:L175)</x:f>
        <x:v>4009149.2999999998</x:v>
      </x:c>
      <x:c r="M176" s="2">
        <x:f>SUM(M172:M175)</x:f>
        <x:v>88209203.299999997</x:v>
      </x:c>
    </x:row>
    <x:row r="179" spans="1:10" s="2" customFormat="1">
      <x:c r="A179" s="1" t="s">
        <x:v>148</x:v>
      </x:c>
      <x:c r="B179" s="1"/>
      <x:c r="C179" s="1"/>
      <x:c r="D179" s="2">
        <x:f>+D172+K172</x:f>
        <x:v>36950218</x:v>
      </x:c>
      <x:c r="E179" s="2">
        <x:f>+E172+L172</x:f>
        <x:v>3675018.7999999998</x:v>
      </x:c>
      <x:c r="F179" s="2">
        <x:f>+F172+M172</x:f>
        <x:v>40625236.799999997</x:v>
      </x:c>
      <x:c r="H179" s="1"/>
      <x:c r="I179" s="1"/>
      <x:c r="J179" s="1"/>
    </x:row>
    <x:row r="180" spans="1:10" s="2" customFormat="1">
      <x:c r="A180" s="1" t="s">
        <x:v>153</x:v>
      </x:c>
      <x:c r="B180" s="1"/>
      <x:c r="C180" s="1"/>
      <x:c r="D180" s="2">
        <x:f t="shared" ref="D180:F182" si="25">+D173+K173</x:f>
        <x:v>107525000</x:v>
      </x:c>
      <x:c r="E180" s="2">
        <x:f t="shared" si="25"/>
        <x:v>330000</x:v>
      </x:c>
      <x:c r="F180" s="2">
        <x:f t="shared" si="25"/>
        <x:v>107855000</x:v>
      </x:c>
      <x:c r="H180" s="1"/>
      <x:c r="I180" s="1"/>
      <x:c r="J180" s="1"/>
    </x:row>
    <x:row r="181" spans="1:10" s="2" customFormat="1">
      <x:c r="A181" s="1" t="s">
        <x:v>187</x:v>
      </x:c>
      <x:c r="B181" s="1"/>
      <x:c r="C181" s="1"/>
      <x:c r="D181" s="2">
        <x:f t="shared" si="25"/>
        <x:v>950000</x:v>
      </x:c>
      <x:c r="E181" s="2">
        <x:f t="shared" si="25"/>
        <x:v>95000</x:v>
      </x:c>
      <x:c r="F181" s="2">
        <x:f t="shared" si="25"/>
        <x:v>1045000</x:v>
      </x:c>
      <x:c r="H181" s="1"/>
      <x:c r="I181" s="1"/>
      <x:c r="J181" s="1"/>
    </x:row>
    <x:row r="182" spans="1:10" s="2" customFormat="1">
      <x:c r="A182" s="1" t="s">
        <x:v>149</x:v>
      </x:c>
      <x:c r="B182" s="1"/>
      <x:c r="C182" s="1"/>
      <x:c r="D182" s="2">
        <x:f t="shared" si="25"/>
        <x:v>16091213</x:v>
      </x:c>
      <x:c r="E182" s="2">
        <x:f t="shared" si="25"/>
        <x:v>1044557</x:v>
      </x:c>
      <x:c r="F182" s="2">
        <x:f t="shared" si="25"/>
        <x:v>17135770</x:v>
      </x:c>
      <x:c r="H182" s="1"/>
      <x:c r="I182" s="1"/>
      <x:c r="J182" s="1"/>
    </x:row>
    <x:row r="183" spans="1:10" s="2" customFormat="1">
      <x:c r="A183" s="1" t="s">
        <x:v>1019</x:v>
      </x:c>
      <x:c r="B183" s="1"/>
      <x:c r="C183" s="1"/>
      <x:c r="D183" s="2">
        <x:f>SUM(D179:D182)</x:f>
        <x:v>161516431</x:v>
      </x:c>
      <x:c r="E183" s="2">
        <x:f>SUM(E179:E182)</x:f>
        <x:v>5144575.7999999998</x:v>
      </x:c>
      <x:c r="F183" s="2">
        <x:f>SUM(F179:F182)</x:f>
        <x:v>166661006.80000001</x:v>
      </x:c>
      <x:c r="H183" s="1"/>
      <x:c r="I183" s="1"/>
      <x:c r="J183" s="1"/>
    </x:row>
    <x:row r="184" spans="1:10" s="2" customFormat="1">
      <x:c r="A184" s="1" t="s">
        <x:v>151</x:v>
      </x:c>
      <x:c r="B184" s="1"/>
      <x:c r="C184" s="1"/>
      <x:c r="D184" s="2">
        <x:f>D4+D43+D86+K4+K43+K86+D129+K129</x:f>
        <x:v>160601419</x:v>
      </x:c>
      <x:c r="E184" s="2">
        <x:f>E4+E43+E86+L4+L43+L86</x:f>
        <x:v>5003081</x:v>
      </x:c>
      <x:c r="F184" s="2">
        <x:f>F4+F43+F86+M4+M43+M86</x:f>
        <x:v>165604500</x:v>
      </x:c>
      <x:c r="H184" s="1"/>
      <x:c r="I184" s="1"/>
      <x:c r="J184" s="1"/>
    </x:row>
    <x:row r="185" spans="1:10" s="2" customFormat="1">
      <x:c r="A185" s="1" t="s">
        <x:v>632</x:v>
      </x:c>
      <x:c r="B185" s="1"/>
      <x:c r="C185" s="1"/>
      <x:c r="D185" s="2">
        <x:f>+D184-D183</x:f>
        <x:v>-915012</x:v>
      </x:c>
      <x:c r="E185" s="2">
        <x:f>+E184-E183</x:f>
        <x:v>-141494.79999999981</x:v>
      </x:c>
      <x:c r="F185" s="2">
        <x:f>+F184-F183</x:f>
        <x:v>-1056506.8000000119</x:v>
      </x:c>
      <x:c r="H185" s="1"/>
      <x:c r="I185" s="1"/>
      <x:c r="J185" s="1"/>
    </x:row>
  </x:sheetData>
  <x:mergeCells count="42">
    <x:mergeCell ref="A152:A155"/>
    <x:mergeCell ref="H152:H155"/>
    <x:mergeCell ref="A157:A166"/>
    <x:mergeCell ref="H157:H166"/>
    <x:mergeCell ref="A127:G127"/>
    <x:mergeCell ref="H127:N127"/>
    <x:mergeCell ref="A130:A145"/>
    <x:mergeCell ref="H130:H145"/>
    <x:mergeCell ref="A147:A150"/>
    <x:mergeCell ref="H147:H150"/>
    <x:mergeCell ref="A104:A107"/>
    <x:mergeCell ref="H104:H107"/>
    <x:mergeCell ref="A109:A112"/>
    <x:mergeCell ref="H109:H112"/>
    <x:mergeCell ref="A114:A123"/>
    <x:mergeCell ref="H114:H123"/>
    <x:mergeCell ref="A71:A80"/>
    <x:mergeCell ref="H71:H80"/>
    <x:mergeCell ref="A84:G84"/>
    <x:mergeCell ref="H84:N84"/>
    <x:mergeCell ref="A87:A102"/>
    <x:mergeCell ref="H87:H102"/>
    <x:mergeCell ref="A44:A59"/>
    <x:mergeCell ref="H44:H59"/>
    <x:mergeCell ref="A61:A64"/>
    <x:mergeCell ref="H61:H64"/>
    <x:mergeCell ref="A66:A69"/>
    <x:mergeCell ref="H66:H69"/>
    <x:mergeCell ref="A23:A26"/>
    <x:mergeCell ref="H23:H26"/>
    <x:mergeCell ref="A28:A37"/>
    <x:mergeCell ref="H28:H37"/>
    <x:mergeCell ref="A41:G41"/>
    <x:mergeCell ref="H41:N41"/>
    <x:mergeCell ref="O1:R1"/>
    <x:mergeCell ref="A18:A21"/>
    <x:mergeCell ref="H18:H21"/>
    <x:mergeCell ref="A1:N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0" min="0" max="1048575" man="1" pt="0"/>
    <x:brk id="83" min="0" max="1048575" man="1" pt="0"/>
    <x:brk id="126" min="0" max="1048575" man="1" pt="0"/>
  </x:rowBreaks>
</x:worksheet>
</file>

<file path=xl/worksheets/sheet5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1"/>
  <x:dimension ref="A1:S114"/>
  <x:sheetViews>
    <x:sheetView view="pageBreakPreview" topLeftCell="A1" zoomScaleNormal="100" zoomScaleSheetLayoutView="100" workbookViewId="0">
      <x:selection activeCell="G11" activeCellId="0" sqref="G11:G1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83"/>
      <x:c r="C2" s="183"/>
      <x:c r="D2" s="183"/>
      <x:c r="E2" s="183"/>
      <x:c r="F2" s="183"/>
      <x:c r="G2" s="183"/>
      <x:c r="H2" s="183"/>
      <x:c r="I2" s="183"/>
      <x:c r="J2" s="183"/>
      <x:c r="K2" s="183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85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'21년03월(세부내역)'!D4</x:f>
        <x:v>106613000</x:v>
      </x:c>
      <x:c r="F5" s="67">
        <x:f>'21년03월(세부내역)'!D17</x:f>
        <x:v>12933300</x:v>
      </x:c>
      <x:c r="G5" s="67">
        <x:f>'21년03월(세부내역)'!D22</x:f>
        <x:v>85140000</x:v>
      </x:c>
      <x:c r="H5" s="67">
        <x:f>'21년03월(세부내역)'!D27</x:f>
        <x:v>0</x:v>
      </x:c>
      <x:c r="I5" s="67">
        <x:f>'21년03월(세부내역)'!D38</x:f>
        <x:v>3752448</x:v>
      </x:c>
      <x:c r="J5" s="75">
        <x:f t="shared" ref="J5:J11" si="0">+SUM(F5:I5)</x:f>
        <x:v>101825748</x:v>
      </x:c>
      <x:c r="K5" s="141">
        <x:f t="shared" ref="K5:K11" si="1">E5-J5</x:f>
        <x:v>4787252</x:v>
      </x:c>
      <x:c r="L5" s="119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'21년03월(세부내역)'!K4</x:f>
        <x:v>55876000</x:v>
      </x:c>
      <x:c r="F6" s="59">
        <x:f>+'21년03월(세부내역)'!K17</x:f>
        <x:v>28462540</x:v>
      </x:c>
      <x:c r="G6" s="59">
        <x:f>'21년03월(세부내역)'!K22</x:f>
        <x:v>22590000</x:v>
      </x:c>
      <x:c r="H6" s="59">
        <x:f>'21년03월(세부내역)'!K27</x:f>
        <x:v>450000</x:v>
      </x:c>
      <x:c r="I6" s="59">
        <x:f>'21년03월(세부내역)'!K38</x:f>
        <x:v>4404270</x:v>
      </x:c>
      <x:c r="J6" s="75">
        <x:f t="shared" si="0"/>
        <x:v>55906810</x:v>
      </x:c>
      <x:c r="K6" s="140">
        <x:f t="shared" si="1"/>
        <x:v>-30810</x:v>
      </x:c>
      <x:c r="L6" s="59"/>
    </x:row>
    <x:row r="7" spans="1:12" ht="30" customHeight="1">
      <x:c r="A7" s="63">
        <x:v>3</x:v>
      </x:c>
      <x:c r="B7" s="63" t="s">
        <x:v>1021</x:v>
      </x:c>
      <x:c r="C7" s="63" t="s">
        <x:v>1065</x:v>
      </x:c>
      <x:c r="D7" s="115" t="s">
        <x:v>113</x:v>
      </x:c>
      <x:c r="E7" s="74">
        <x:f>'21년03월(세부내역)'!D43</x:f>
        <x:v>85809373</x:v>
      </x:c>
      <x:c r="F7" s="59">
        <x:f>+'21년03월(세부내역)'!D60</x:f>
        <x:v>1092920</x:v>
      </x:c>
      <x:c r="G7" s="59">
        <x:f>'21년03월(세부내역)'!D65</x:f>
        <x:v>16430000</x:v>
      </x:c>
      <x:c r="H7" s="59">
        <x:f>'21년03월(세부내역)'!D70</x:f>
        <x:v>80000</x:v>
      </x:c>
      <x:c r="I7" s="59">
        <x:f>'21년03월(세부내역)'!D81</x:f>
        <x:v>3504649</x:v>
      </x:c>
      <x:c r="J7" s="75">
        <x:f t="shared" si="0"/>
        <x:v>21107569</x:v>
      </x:c>
      <x:c r="K7" s="141">
        <x:f t="shared" si="1"/>
        <x:v>64701804</x:v>
      </x:c>
      <x:c r="L7" s="119" t="s">
        <x:v>468</x:v>
      </x:c>
    </x:row>
    <x:row r="8" spans="1:12" ht="30" customHeight="1">
      <x:c r="A8" s="63">
        <x:v>4</x:v>
      </x:c>
      <x:c r="B8" s="63" t="s">
        <x:v>789</x:v>
      </x:c>
      <x:c r="C8" s="63" t="s">
        <x:v>156</x:v>
      </x:c>
      <x:c r="D8" s="115" t="s">
        <x:v>96</x:v>
      </x:c>
      <x:c r="E8" s="74">
        <x:f>'21년03월(세부내역)'!K43</x:f>
        <x:v>0</x:v>
      </x:c>
      <x:c r="F8" s="59">
        <x:f>'21년03월(세부내역)'!K60</x:f>
        <x:v>5866110</x:v>
      </x:c>
      <x:c r="G8" s="59">
        <x:f>'21년03월(세부내역)'!K65</x:f>
        <x:v>13900000</x:v>
      </x:c>
      <x:c r="H8" s="59">
        <x:f>'21년03월(세부내역)'!K70</x:f>
        <x:v>400000</x:v>
      </x:c>
      <x:c r="I8" s="59">
        <x:f>'21년03월(세부내역)'!K81</x:f>
        <x:v>5228394</x:v>
      </x:c>
      <x:c r="J8" s="75">
        <x:f t="shared" si="0"/>
        <x:v>25394504</x:v>
      </x:c>
      <x:c r="K8" s="141">
        <x:f t="shared" si="1"/>
        <x:v>-25394504</x:v>
      </x:c>
      <x:c r="L8" s="119"/>
    </x:row>
    <x:row r="9" spans="1:12" ht="30" customHeight="1">
      <x:c r="A9" s="63">
        <x:v>5</x:v>
      </x:c>
      <x:c r="B9" s="63" t="s">
        <x:v>415</x:v>
      </x:c>
      <x:c r="C9" s="63" t="s">
        <x:v>791</x:v>
      </x:c>
      <x:c r="D9" s="115" t="s">
        <x:v>95</x:v>
      </x:c>
      <x:c r="E9" s="74">
        <x:f>'21년03월(세부내역)'!D86</x:f>
        <x:v>0</x:v>
      </x:c>
      <x:c r="F9" s="59">
        <x:f>'21년03월(세부내역)'!D103</x:f>
        <x:v>11407550</x:v>
      </x:c>
      <x:c r="G9" s="59">
        <x:f>'21년03월(세부내역)'!D108</x:f>
        <x:v>9310000</x:v>
      </x:c>
      <x:c r="H9" s="59">
        <x:f>'21년03월(세부내역)'!D113</x:f>
        <x:v>0</x:v>
      </x:c>
      <x:c r="I9" s="59">
        <x:f>'21년03월(세부내역)'!D124</x:f>
        <x:v>1634071</x:v>
      </x:c>
      <x:c r="J9" s="75">
        <x:f t="shared" si="0"/>
        <x:v>22351621</x:v>
      </x:c>
      <x:c r="K9" s="141">
        <x:f t="shared" si="1"/>
        <x:v>-22351621</x:v>
      </x:c>
      <x:c r="L9" s="119"/>
    </x:row>
    <x:row r="10" spans="1:12" ht="30" customHeight="1">
      <x:c r="A10" s="63">
        <x:v>6</x:v>
      </x:c>
      <x:c r="B10" s="63" t="s">
        <x:v>466</x:v>
      </x:c>
      <x:c r="C10" s="63" t="s">
        <x:v>791</x:v>
      </x:c>
      <x:c r="D10" s="115" t="s">
        <x:v>116</x:v>
      </x:c>
      <x:c r="E10" s="74">
        <x:f>'21년03월(세부내역)'!K86</x:f>
        <x:v>0</x:v>
      </x:c>
      <x:c r="F10" s="59">
        <x:f>'21년03월(세부내역)'!K103</x:f>
        <x:v>3821727</x:v>
      </x:c>
      <x:c r="G10" s="59">
        <x:f>'21년03월(세부내역)'!K108</x:f>
        <x:v>0</x:v>
      </x:c>
      <x:c r="H10" s="59">
        <x:f>'21년03월(세부내역)'!K113</x:f>
        <x:v>0</x:v>
      </x:c>
      <x:c r="I10" s="59">
        <x:f>'21년03월(세부내역)'!K124</x:f>
        <x:v>464739</x:v>
      </x:c>
      <x:c r="J10" s="75">
        <x:f t="shared" si="0"/>
        <x:v>4286466</x:v>
      </x:c>
      <x:c r="K10" s="141">
        <x:f t="shared" si="1"/>
        <x:v>-4286466</x:v>
      </x:c>
      <x:c r="L10" s="119"/>
    </x:row>
    <x:row r="11" spans="1:12" ht="30" customHeight="1">
      <x:c r="A11" s="63">
        <x:v>7</x:v>
      </x:c>
      <x:c r="B11" s="63" t="s">
        <x:v>423</x:v>
      </x:c>
      <x:c r="C11" s="63" t="s">
        <x:v>156</x:v>
      </x:c>
      <x:c r="D11" s="115" t="s">
        <x:v>91</x:v>
      </x:c>
      <x:c r="E11" s="74">
        <x:f>'21년03월(세부내역)'!D129</x:f>
        <x:v>0</x:v>
      </x:c>
      <x:c r="F11" s="59">
        <x:f>'21년03월(세부내역)'!D146</x:f>
        <x:v>0</x:v>
      </x:c>
      <x:c r="G11" s="59">
        <x:f>'21년03월(세부내역)'!D151</x:f>
        <x:v>0</x:v>
      </x:c>
      <x:c r="H11" s="59">
        <x:f>'21년03월(세부내역)'!D156</x:f>
        <x:v>0</x:v>
      </x:c>
      <x:c r="I11" s="59">
        <x:f>'21년03월(세부내역)'!D167</x:f>
        <x:v>0</x:v>
      </x:c>
      <x:c r="J11" s="75">
        <x:f t="shared" si="0"/>
        <x:v>0</x:v>
      </x:c>
      <x:c r="K11" s="141">
        <x:f t="shared" si="1"/>
        <x:v>0</x:v>
      </x:c>
      <x:c r="L11" s="119"/>
    </x:row>
    <x:row r="12" spans="1:12" ht="30" customHeight="1">
      <x:c r="A12" s="64"/>
      <x:c r="B12" s="64" t="s">
        <x:v>1690</x:v>
      </x:c>
      <x:c r="C12" s="64"/>
      <x:c r="D12" s="64"/>
      <x:c r="E12" s="68">
        <x:f t="shared" ref="E12:K12" si="2">SUM(E5:E10)</x:f>
        <x:v>248298373</x:v>
      </x:c>
      <x:c r="F12" s="66">
        <x:f t="shared" si="2"/>
        <x:v>63584147</x:v>
      </x:c>
      <x:c r="G12" s="66">
        <x:f t="shared" si="2"/>
        <x:v>147370000</x:v>
      </x:c>
      <x:c r="H12" s="66">
        <x:f t="shared" si="2"/>
        <x:v>930000</x:v>
      </x:c>
      <x:c r="I12" s="66">
        <x:f t="shared" si="2"/>
        <x:v>18988571</x:v>
      </x:c>
      <x:c r="J12" s="69">
        <x:f t="shared" si="2"/>
        <x:v>230872718</x:v>
      </x:c>
      <x:c r="K12" s="142">
        <x:f t="shared" si="2"/>
        <x:v>17425655</x:v>
      </x:c>
      <x:c r="L12" s="66"/>
    </x:row>
    <x:row r="24" spans="1:19" s="2" customFormat="1">
      <x:c r="A24" s="1"/>
      <x:c r="B24" s="1"/>
      <x:c r="C24" s="1"/>
      <x:c r="D24" s="1"/>
      <x:c r="E24" s="1"/>
      <x:c r="J24" s="1"/>
      <x:c r="K24" s="1"/>
      <x:c r="M24" s="1"/>
      <x:c r="N24" s="1"/>
      <x:c r="O24" s="1"/>
      <x:c r="P24" s="1"/>
      <x:c r="Q24" s="1"/>
      <x:c r="R24" s="1"/>
      <x:c r="S24" s="1"/>
    </x:row>
    <x:row r="114" spans="4:4">
      <x:c r="D114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5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2"/>
  <x:dimension ref="A1:S185"/>
  <x:sheetViews>
    <x:sheetView view="pageBreakPreview" topLeftCell="A52" zoomScaleNormal="100" zoomScaleSheetLayoutView="100" workbookViewId="0">
      <x:selection activeCell="D116" activeCellId="0" sqref="D116:D11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18" width="10.875" style="2" customWidth="1"/>
    <x:col min="19" max="19" width="11.875" style="1" customWidth="1"/>
  </x:cols>
  <x:sheetData>
    <x:row r="1" spans="1:19" ht="38.25" customHeight="1">
      <x:c r="A1" s="286" t="s">
        <x:v>1796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</x:row>
    <x:row r="2" spans="1:19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4" t="s">
        <x:v>282</x:v>
      </x:c>
    </x:row>
    <x:row r="3" spans="1:19" ht="20.100000000000001" customHeight="1">
      <x:c r="A3" s="29" t="s">
        <x:v>147</x:v>
      </x:c>
      <x:c r="B3" s="185" t="s">
        <x:v>144</x:v>
      </x:c>
      <x:c r="C3" s="185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85" t="s">
        <x:v>144</x:v>
      </x:c>
      <x:c r="J3" s="185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5">
        <x:f>+O3-(P3+R3+Q3)</x:f>
        <x:v>0</x:v>
      </x:c>
    </x:row>
    <x:row r="4" spans="1:19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106613000</x:v>
      </x:c>
      <x:c r="E4" s="39">
        <x:v>3387000</x:v>
      </x:c>
      <x:c r="F4" s="40">
        <x:f>+D4+E4</x:f>
        <x:v>110000000</x:v>
      </x:c>
      <x:c r="G4" s="42"/>
      <x:c r="H4" s="184" t="s">
        <x:v>151</x:v>
      </x:c>
      <x:c r="I4" s="38" t="s">
        <x:v>1679</x:v>
      </x:c>
      <x:c r="J4" s="38" t="s">
        <x:v>1030</x:v>
      </x:c>
      <x:c r="K4" s="39">
        <x:v>55876000</x:v>
      </x:c>
      <x:c r="L4" s="39">
        <x:v>124000</x:v>
      </x:c>
      <x:c r="M4" s="40">
        <x:f>+K4+L4</x:f>
        <x:v>56000000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6"/>
    </x:row>
    <x:row r="5" spans="1:19" ht="20.100000000000001" customHeight="1">
      <x:c r="A5" s="298" t="s">
        <x:v>148</x:v>
      </x:c>
      <x:c r="B5" s="165" t="s">
        <x:v>902</x:v>
      </x:c>
      <x:c r="C5" s="166" t="s">
        <x:v>1189</x:v>
      </x:c>
      <x:c r="D5" s="167">
        <x:v>-3887810</x:v>
      </x:c>
      <x:c r="E5" s="167">
        <x:f>+D5*0.1</x:f>
        <x:v>-388781</x:v>
      </x:c>
      <x:c r="F5" s="168">
        <x:f t="shared" ref="F5:F16" si="0">+D5+E5</x:f>
        <x:v>-4276591</x:v>
      </x:c>
      <x:c r="G5" s="169" t="s">
        <x:v>1305</x:v>
      </x:c>
      <x:c r="H5" s="298" t="s">
        <x:v>148</x:v>
      </x:c>
      <x:c r="I5" s="19" t="s">
        <x:v>838</x:v>
      </x:c>
      <x:c r="J5" s="19" t="s">
        <x:v>1055</x:v>
      </x:c>
      <x:c r="K5" s="20">
        <x:v>216000</x:v>
      </x:c>
      <x:c r="L5" s="20">
        <x:f t="shared" ref="L5:L13" si="1">+K5*0.1</x:f>
        <x:v>21600</x:v>
      </x:c>
      <x:c r="M5" s="21">
        <x:f t="shared" ref="M5:M21" si="2">+K5+L5</x:f>
        <x:v>237600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5">
        <x:f>+O5-(P5+R5+Q5)</x:f>
        <x:v>184285460</x:v>
      </x:c>
    </x:row>
    <x:row r="6" spans="1:14" ht="20.100000000000001" customHeight="1">
      <x:c r="A6" s="299"/>
      <x:c r="B6" s="154" t="s">
        <x:v>867</x:v>
      </x:c>
      <x:c r="C6" s="155" t="s">
        <x:v>384</x:v>
      </x:c>
      <x:c r="D6" s="156">
        <x:v>-11535000</x:v>
      </x:c>
      <x:c r="E6" s="156">
        <x:f t="shared" ref="E6:E16" si="3">+D6*0.1</x:f>
        <x:v>-1153500</x:v>
      </x:c>
      <x:c r="F6" s="157">
        <x:f t="shared" si="0"/>
        <x:v>-12688500</x:v>
      </x:c>
      <x:c r="G6" s="158" t="s">
        <x:v>1305</x:v>
      </x:c>
      <x:c r="H6" s="299"/>
      <x:c r="I6" s="3" t="s">
        <x:v>867</x:v>
      </x:c>
      <x:c r="J6" s="3" t="s">
        <x:v>374</x:v>
      </x:c>
      <x:c r="K6" s="4">
        <x:v>1904750</x:v>
      </x:c>
      <x:c r="L6" s="4">
        <x:f>+INT(K6*0.1)</x:f>
        <x:v>190475</x:v>
      </x:c>
      <x:c r="M6" s="5">
        <x:f t="shared" si="2"/>
        <x:v>2095225</x:v>
      </x:c>
      <x:c r="N6" s="6"/>
    </x:row>
    <x:row r="7" spans="1:14" ht="20.100000000000001" customHeight="1">
      <x:c r="A7" s="299"/>
      <x:c r="B7" s="178" t="s">
        <x:v>902</x:v>
      </x:c>
      <x:c r="C7" s="178" t="s">
        <x:v>1189</x:v>
      </x:c>
      <x:c r="D7" s="44">
        <x:v>8976110</x:v>
      </x:c>
      <x:c r="E7" s="44">
        <x:f t="shared" si="3"/>
        <x:v>897611</x:v>
      </x:c>
      <x:c r="F7" s="45">
        <x:f t="shared" si="0"/>
        <x:v>9873721</x:v>
      </x:c>
      <x:c r="G7" s="179" t="s">
        <x:v>240</x:v>
      </x:c>
      <x:c r="H7" s="299"/>
      <x:c r="I7" s="3" t="s">
        <x:v>854</x:v>
      </x:c>
      <x:c r="J7" s="3" t="s">
        <x:v>467</x:v>
      </x:c>
      <x:c r="K7" s="4">
        <x:v>15445200</x:v>
      </x:c>
      <x:c r="L7" s="4">
        <x:f>+K7*0.1</x:f>
        <x:v>1544520</x:v>
      </x:c>
      <x:c r="M7" s="5">
        <x:f t="shared" si="2"/>
        <x:v>16989720</x:v>
      </x:c>
      <x:c r="N7" s="6"/>
    </x:row>
    <x:row r="8" spans="1:14" ht="20.100000000000001" customHeight="1">
      <x:c r="A8" s="299"/>
      <x:c r="B8" s="162" t="s">
        <x:v>867</x:v>
      </x:c>
      <x:c r="C8" s="162" t="s">
        <x:v>384</x:v>
      </x:c>
      <x:c r="D8" s="163">
        <x:v>11535000</x:v>
      </x:c>
      <x:c r="E8" s="163">
        <x:f t="shared" si="3"/>
        <x:v>1153500</x:v>
      </x:c>
      <x:c r="F8" s="164">
        <x:f t="shared" si="0"/>
        <x:v>12688500</x:v>
      </x:c>
      <x:c r="G8" s="180" t="s">
        <x:v>240</x:v>
      </x:c>
      <x:c r="H8" s="299"/>
      <x:c r="I8" s="3" t="s">
        <x:v>1315</x:v>
      </x:c>
      <x:c r="J8" s="3" t="s">
        <x:v>1306</x:v>
      </x:c>
      <x:c r="K8" s="4"/>
      <x:c r="L8" s="4">
        <x:f>+(K8*0.1)</x:f>
        <x:v>0</x:v>
      </x:c>
      <x:c r="M8" s="5">
        <x:f t="shared" si="2"/>
        <x:v>0</x:v>
      </x:c>
      <x:c r="N8" s="6"/>
    </x:row>
    <x:row r="9" spans="1:14" ht="20.100000000000001" customHeight="1">
      <x:c r="A9" s="299"/>
      <x:c r="B9" s="3" t="s">
        <x:v>1243</x:v>
      </x:c>
      <x:c r="C9" s="3" t="s">
        <x:v>1346</x:v>
      </x:c>
      <x:c r="D9" s="4">
        <x:v>5921000</x:v>
      </x:c>
      <x:c r="E9" s="4">
        <x:f t="shared" si="3"/>
        <x:v>592100</x:v>
      </x:c>
      <x:c r="F9" s="5">
        <x:f t="shared" si="0"/>
        <x:v>6513100</x:v>
      </x:c>
      <x:c r="G9" s="37" t="s">
        <x:v>243</x:v>
      </x:c>
      <x:c r="H9" s="299"/>
      <x:c r="I9" s="3" t="s">
        <x:v>1058</x:v>
      </x:c>
      <x:c r="J9" s="3" t="s">
        <x:v>748</x:v>
      </x:c>
      <x:c r="K9" s="4">
        <x:v>1732400</x:v>
      </x:c>
      <x:c r="L9" s="4">
        <x:f>INT(K9*0.1)</x:f>
        <x:v>173240</x:v>
      </x:c>
      <x:c r="M9" s="5">
        <x:f t="shared" si="2"/>
        <x:v>1905640</x:v>
      </x:c>
      <x:c r="N9" s="6"/>
    </x:row>
    <x:row r="10" spans="1:14" ht="20.100000000000001" customHeight="1">
      <x:c r="A10" s="299"/>
      <x:c r="B10" s="3" t="s">
        <x:v>840</x:v>
      </x:c>
      <x:c r="C10" s="3" t="s">
        <x:v>383</x:v>
      </x:c>
      <x:c r="D10" s="4">
        <x:v>246500</x:v>
      </x:c>
      <x:c r="E10" s="4">
        <x:f t="shared" si="3"/>
        <x:v>24650</x:v>
      </x:c>
      <x:c r="F10" s="5">
        <x:f t="shared" si="0"/>
        <x:v>271150</x:v>
      </x:c>
      <x:c r="G10" s="37" t="s">
        <x:v>240</x:v>
      </x:c>
      <x:c r="H10" s="299"/>
      <x:c r="I10" s="3" t="s">
        <x:v>840</x:v>
      </x:c>
      <x:c r="J10" s="3" t="s">
        <x:v>1183</x:v>
      </x:c>
      <x:c r="K10" s="4">
        <x:v>271200</x:v>
      </x:c>
      <x:c r="L10" s="4">
        <x:f t="shared" si="1"/>
        <x:v>27120</x:v>
      </x:c>
      <x:c r="M10" s="5">
        <x:f t="shared" si="2"/>
        <x:v>298320</x:v>
      </x:c>
      <x:c r="N10" s="6"/>
    </x:row>
    <x:row r="11" spans="1:14" ht="20.100000000000001" customHeight="1">
      <x:c r="A11" s="299"/>
      <x:c r="B11" s="3" t="s">
        <x:v>846</x:v>
      </x:c>
      <x:c r="C11" s="3" t="s">
        <x:v>888</x:v>
      </x:c>
      <x:c r="D11" s="4">
        <x:v>587500</x:v>
      </x:c>
      <x:c r="E11" s="4">
        <x:f t="shared" si="3"/>
        <x:v>58750</x:v>
      </x:c>
      <x:c r="F11" s="5">
        <x:f t="shared" si="0"/>
        <x:v>646250</x:v>
      </x:c>
      <x:c r="G11" s="37" t="s">
        <x:v>240</x:v>
      </x:c>
      <x:c r="H11" s="299"/>
      <x:c r="I11" s="3" t="s">
        <x:v>846</x:v>
      </x:c>
      <x:c r="J11" s="3" t="s">
        <x:v>754</x:v>
      </x:c>
      <x:c r="K11" s="4">
        <x:v>714160</x:v>
      </x:c>
      <x:c r="L11" s="4">
        <x:f t="shared" si="1"/>
        <x:v>71416</x:v>
      </x:c>
      <x:c r="M11" s="5">
        <x:f t="shared" si="2"/>
        <x:v>785576</x:v>
      </x:c>
      <x:c r="N11" s="6"/>
    </x:row>
    <x:row r="12" spans="1:14" ht="20.100000000000001" customHeight="1">
      <x:c r="A12" s="299"/>
      <x:c r="B12" s="3" t="s">
        <x:v>938</x:v>
      </x:c>
      <x:c r="C12" s="162" t="s">
        <x:v>1094</x:v>
      </x:c>
      <x:c r="D12" s="163">
        <x:v>510000</x:v>
      </x:c>
      <x:c r="E12" s="4">
        <x:f>+D12*0.1</x:f>
        <x:v>51000</x:v>
      </x:c>
      <x:c r="F12" s="45">
        <x:f>+D12+E12</x:f>
        <x:v>561000</x:v>
      </x:c>
      <x:c r="G12" s="37" t="s">
        <x:v>1283</x:v>
      </x:c>
      <x:c r="H12" s="299"/>
      <x:c r="I12" s="3" t="s">
        <x:v>846</x:v>
      </x:c>
      <x:c r="J12" s="3" t="s">
        <x:v>1094</x:v>
      </x:c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 t="s">
        <x:v>1332</x:v>
      </x:c>
      <x:c r="C13" s="162" t="s">
        <x:v>280</x:v>
      </x:c>
      <x:c r="D13" s="163">
        <x:v>580000</x:v>
      </x:c>
      <x:c r="E13" s="4">
        <x:f t="shared" si="3"/>
        <x:v>58000</x:v>
      </x:c>
      <x:c r="F13" s="45">
        <x:f t="shared" si="0"/>
        <x:v>638000</x:v>
      </x:c>
      <x:c r="G13" s="37" t="s">
        <x:v>1283</x:v>
      </x:c>
      <x:c r="H13" s="299"/>
      <x:c r="I13" s="3" t="s">
        <x:v>967</x:v>
      </x:c>
      <x:c r="J13" s="3" t="s">
        <x:v>1337</x:v>
      </x:c>
      <x:c r="K13" s="4">
        <x:v>8033830</x:v>
      </x:c>
      <x:c r="L13" s="4">
        <x:f t="shared" si="1"/>
        <x:v>803383</x:v>
      </x:c>
      <x:c r="M13" s="5">
        <x:f t="shared" si="2"/>
        <x:v>8837213</x:v>
      </x:c>
      <x:c r="N13" s="6"/>
    </x:row>
    <x:row r="14" spans="1:14" ht="20.100000000000001" customHeight="1">
      <x:c r="A14" s="299"/>
      <x:c r="B14" s="162"/>
      <x:c r="C14" s="162"/>
      <x:c r="D14" s="163"/>
      <x:c r="E14" s="4"/>
      <x:c r="F14" s="45">
        <x:f t="shared" si="0"/>
        <x:v>0</x:v>
      </x:c>
      <x:c r="G14" s="37"/>
      <x:c r="H14" s="299"/>
      <x:c r="I14" s="3" t="s">
        <x:v>1332</x:v>
      </x:c>
      <x:c r="J14" s="3" t="s">
        <x:v>280</x:v>
      </x:c>
      <x:c r="K14" s="4">
        <x:v>145000</x:v>
      </x:c>
      <x:c r="L14" s="4">
        <x:f>INT(K14*0.1)</x:f>
        <x:v>14500</x:v>
      </x:c>
      <x:c r="M14" s="5">
        <x:f t="shared" si="2"/>
        <x:v>159500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3"/>
        <x:v>0</x:v>
      </x:c>
      <x:c r="F15" s="45">
        <x:f t="shared" si="0"/>
        <x:v>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 t="shared" si="2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3"/>
        <x:v>0</x:v>
      </x:c>
      <x:c r="F16" s="45">
        <x:f t="shared" si="0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2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12933300</x:v>
      </x:c>
      <x:c r="E17" s="9">
        <x:f>SUM(E5:E16)</x:f>
        <x:v>1293330</x:v>
      </x:c>
      <x:c r="F17" s="10">
        <x:f>SUM(F5:F16)</x:f>
        <x:v>14226630</x:v>
      </x:c>
      <x:c r="G17" s="11"/>
      <x:c r="H17" s="7"/>
      <x:c r="I17" s="8"/>
      <x:c r="J17" s="8"/>
      <x:c r="K17" s="9">
        <x:f>SUM(K5:K16)</x:f>
        <x:v>28462540</x:v>
      </x:c>
      <x:c r="L17" s="9">
        <x:f>SUM(L5:L16)</x:f>
        <x:v>2846254</x:v>
      </x:c>
      <x:c r="M17" s="10">
        <x:f>SUM(M5:M16)</x:f>
        <x:v>31308794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43040000</x:v>
      </x:c>
      <x:c r="E18" s="44"/>
      <x:c r="F18" s="45">
        <x:f>+D18+E18</x:f>
        <x:v>43040000</x:v>
      </x:c>
      <x:c r="G18" s="37" t="s">
        <x:v>240</x:v>
      </x:c>
      <x:c r="H18" s="301" t="s">
        <x:v>153</x:v>
      </x:c>
      <x:c r="I18" s="3" t="s">
        <x:v>1677</x:v>
      </x:c>
      <x:c r="J18" s="3" t="s">
        <x:v>1083</x:v>
      </x:c>
      <x:c r="K18" s="4">
        <x:v>22590000</x:v>
      </x:c>
      <x:c r="L18" s="4"/>
      <x:c r="M18" s="5">
        <x:f t="shared" si="2"/>
        <x:v>22590000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1280</x:v>
      </x:c>
      <x:c r="D19" s="4">
        <x:v>42100000</x:v>
      </x:c>
      <x:c r="E19" s="4"/>
      <x:c r="F19" s="5">
        <x:f>+D19+E19</x:f>
        <x:v>42100000</x:v>
      </x:c>
      <x:c r="G19" s="37" t="s">
        <x:v>243</x:v>
      </x:c>
      <x:c r="H19" s="299"/>
      <x:c r="I19" s="3"/>
      <x:c r="J19" s="3"/>
      <x:c r="K19" s="4"/>
      <x:c r="L19" s="4">
        <x:f>INT(K19*0.1)</x:f>
        <x:v>0</x:v>
      </x:c>
      <x:c r="M19" s="5">
        <x:f t="shared" si="2"/>
        <x:v>0</x:v>
      </x:c>
      <x:c r="N19" s="6"/>
    </x:row>
    <x:row r="20" spans="1:14" ht="20.100000000000001" customHeight="1">
      <x:c r="A20" s="299"/>
      <x:c r="B20" s="3"/>
      <x:c r="C20" s="3"/>
      <x:c r="D20" s="4"/>
      <x:c r="E20" s="4">
        <x:f>+D20*0.1</x:f>
        <x:v>0</x:v>
      </x:c>
      <x:c r="F20" s="5">
        <x:f>+D20+E20</x:f>
        <x:v>0</x:v>
      </x:c>
      <x:c r="G20" s="37"/>
      <x:c r="H20" s="299"/>
      <x:c r="I20" s="3"/>
      <x:c r="J20" s="3"/>
      <x:c r="K20" s="4"/>
      <x:c r="L20" s="4"/>
      <x:c r="M20" s="5">
        <x:f t="shared" si="2"/>
        <x:v>0</x:v>
      </x:c>
      <x:c r="N20" s="6"/>
    </x:row>
    <x:row r="21" spans="1:14" ht="20.100000000000001" customHeight="1">
      <x:c r="A21" s="300"/>
      <x:c r="B21" s="3"/>
      <x:c r="C21" s="3"/>
      <x:c r="D21" s="4"/>
      <x:c r="E21" s="4"/>
      <x:c r="F21" s="5">
        <x:f>+D21+E21</x:f>
        <x:v>0</x:v>
      </x:c>
      <x:c r="G21" s="6"/>
      <x:c r="H21" s="300"/>
      <x:c r="I21" s="3"/>
      <x:c r="J21" s="3"/>
      <x:c r="K21" s="4"/>
      <x:c r="L21" s="4"/>
      <x:c r="M21" s="5">
        <x:f t="shared" si="2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85140000</x:v>
      </x:c>
      <x:c r="E22" s="9">
        <x:f>SUM(E18:E21)</x:f>
        <x:v>0</x:v>
      </x:c>
      <x:c r="F22" s="10">
        <x:f>SUM(F18:F21)</x:f>
        <x:v>85140000</x:v>
      </x:c>
      <x:c r="G22" s="11"/>
      <x:c r="H22" s="7"/>
      <x:c r="I22" s="8"/>
      <x:c r="J22" s="8"/>
      <x:c r="K22" s="9">
        <x:f>SUM(K18:K21)</x:f>
        <x:v>22590000</x:v>
      </x:c>
      <x:c r="L22" s="9">
        <x:f>SUM(L18:L21)</x:f>
        <x:v>0</x:v>
      </x:c>
      <x:c r="M22" s="10">
        <x:f>SUM(M18:M21)</x:f>
        <x:v>22590000</x:v>
      </x:c>
      <x:c r="N22" s="11"/>
    </x:row>
    <x:row r="23" spans="1:14" ht="20.100000000000001" customHeight="1">
      <x:c r="A23" s="301" t="s">
        <x:v>187</x:v>
      </x:c>
      <x:c r="B23" s="3" t="s">
        <x:v>1321</x:v>
      </x:c>
      <x:c r="C23" s="3" t="s">
        <x:v>948</x:v>
      </x:c>
      <x:c r="D23" s="4"/>
      <x:c r="E23" s="4">
        <x:f>+D23*0.1</x:f>
        <x:v>0</x:v>
      </x:c>
      <x:c r="F23" s="5">
        <x:f>+D23+E23</x:f>
        <x:v>0</x:v>
      </x:c>
      <x:c r="G23" s="6"/>
      <x:c r="H23" s="301" t="s">
        <x:v>187</x:v>
      </x:c>
      <x:c r="I23" s="3" t="s">
        <x:v>1124</x:v>
      </x:c>
      <x:c r="J23" s="3" t="s">
        <x:v>1126</x:v>
      </x:c>
      <x:c r="K23" s="4">
        <x:v>300000</x:v>
      </x:c>
      <x:c r="L23" s="4">
        <x:f>+K23*0.1</x:f>
        <x:v>30000</x:v>
      </x:c>
      <x:c r="M23" s="5">
        <x:f>+K23+L23</x:f>
        <x:v>330000</x:v>
      </x:c>
      <x:c r="N23" s="6" t="s">
        <x:v>278</x:v>
      </x:c>
    </x:row>
    <x:row r="24" spans="1:14" ht="20.100000000000001" customHeight="1">
      <x:c r="A24" s="299"/>
      <x:c r="B24" s="3"/>
      <x:c r="C24" s="3"/>
      <x:c r="D24" s="4"/>
      <x:c r="E24" s="4">
        <x:f>+D24*0.1</x:f>
        <x:v>0</x:v>
      </x:c>
      <x:c r="F24" s="5">
        <x:f>+D24+E24</x:f>
        <x:v>0</x:v>
      </x:c>
      <x:c r="G24" s="6"/>
      <x:c r="H24" s="299"/>
      <x:c r="I24" s="3" t="s">
        <x:v>1211</x:v>
      </x:c>
      <x:c r="J24" s="3" t="s">
        <x:v>948</x:v>
      </x:c>
      <x:c r="K24" s="4">
        <x:v>150000</x:v>
      </x:c>
      <x:c r="L24" s="4">
        <x:f>K24*0.1</x:f>
        <x:v>15000</x:v>
      </x:c>
      <x:c r="M24" s="5">
        <x:f>+K24+L24</x:f>
        <x:v>165000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/>
      <x:c r="J25" s="3"/>
      <x:c r="K25" s="4"/>
      <x:c r="L25" s="4">
        <x:f>+K25*0.1</x:f>
        <x:v>0</x:v>
      </x:c>
      <x:c r="M25" s="5">
        <x:f>+K25+L25</x:f>
        <x:v>0</x:v>
      </x:c>
      <x:c r="N25" s="6"/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0</x:v>
      </x:c>
      <x:c r="E27" s="9">
        <x:f>SUM(E23:E26)</x:f>
        <x:v>0</x:v>
      </x:c>
      <x:c r="F27" s="10">
        <x:f>SUM(F23:F26)</x:f>
        <x:v>0</x:v>
      </x:c>
      <x:c r="G27" s="11"/>
      <x:c r="H27" s="7"/>
      <x:c r="I27" s="8"/>
      <x:c r="J27" s="8"/>
      <x:c r="K27" s="9">
        <x:f>SUM(K23:K26)</x:f>
        <x:v>450000</x:v>
      </x:c>
      <x:c r="L27" s="9">
        <x:f>SUM(L23:L26)</x:f>
        <x:v>45000</x:v>
      </x:c>
      <x:c r="M27" s="10">
        <x:f>SUM(M23:M26)</x:f>
        <x:v>495000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1692290</x:v>
      </x:c>
      <x:c r="E28" s="44"/>
      <x:c r="F28" s="5">
        <x:f>+D28+E28</x:f>
        <x:v>1692290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949180</x:v>
      </x:c>
      <x:c r="L28" s="4">
        <x:v>7000</x:v>
      </x:c>
      <x:c r="M28" s="5">
        <x:f>+K28+L28</x:f>
        <x:v>956180</x:v>
      </x:c>
      <x:c r="N28" s="6"/>
    </x:row>
    <x:row r="29" spans="1:14" ht="20.100000000000001" customHeight="1">
      <x:c r="A29" s="299"/>
      <x:c r="B29" s="3" t="s">
        <x:v>1274</x:v>
      </x:c>
      <x:c r="C29" s="3" t="s">
        <x:v>42</x:v>
      </x:c>
      <x:c r="D29" s="4">
        <x:v>930909</x:v>
      </x:c>
      <x:c r="E29" s="4">
        <x:f>+INT(D29*0.1)+1</x:f>
        <x:v>93091</x:v>
      </x:c>
      <x:c r="F29" s="5">
        <x:f>+D29+E29</x:f>
        <x:v>1024000</x:v>
      </x:c>
      <x:c r="G29" s="6"/>
      <x:c r="H29" s="299"/>
      <x:c r="I29" s="3" t="s">
        <x:v>1205</x:v>
      </x:c>
      <x:c r="J29" s="3" t="s">
        <x:v>28</x:v>
      </x:c>
      <x:c r="K29" s="4">
        <x:v>709090</x:v>
      </x:c>
      <x:c r="L29" s="4">
        <x:f>+INT(K29*0.1)+1</x:f>
        <x:v>70910</x:v>
      </x:c>
      <x:c r="M29" s="5">
        <x:f>+K29+L29</x:f>
        <x:v>780000</x:v>
      </x:c>
      <x:c r="N29" s="6"/>
    </x:row>
    <x:row r="30" spans="1:14" ht="20.100000000000001" customHeight="1">
      <x:c r="A30" s="299"/>
      <x:c r="B30" s="3" t="s">
        <x:v>1313</x:v>
      </x:c>
      <x:c r="C30" s="3" t="s">
        <x:v>825</x:v>
      </x:c>
      <x:c r="D30" s="4"/>
      <x:c r="E30" s="4">
        <x:f>+INT(D30*0.1)</x:f>
        <x:v>0</x:v>
      </x:c>
      <x:c r="F30" s="5">
        <x:f t="shared" ref="F30:F37" si="4">+D30+E30</x:f>
        <x:v>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>+K30+L30</x:f>
        <x:v>550000</x:v>
      </x:c>
      <x:c r="N30" s="6"/>
    </x:row>
    <x:row r="31" spans="1:14" ht="20.100000000000001" customHeight="1">
      <x:c r="A31" s="299"/>
      <x:c r="B31" s="3" t="s">
        <x:v>994</x:v>
      </x:c>
      <x:c r="C31" s="3" t="s">
        <x:v>8</x:v>
      </x:c>
      <x:c r="D31" s="4">
        <x:v>420001</x:v>
      </x:c>
      <x:c r="E31" s="4">
        <x:v>41999</x:v>
      </x:c>
      <x:c r="F31" s="5">
        <x:f t="shared" si="4"/>
        <x:v>462000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100000</x:v>
      </x:c>
      <x:c r="E32" s="4">
        <x:f>+INT(D32*0.1)</x:f>
        <x:v>10000</x:v>
      </x:c>
      <x:c r="F32" s="5">
        <x:f t="shared" si="4"/>
        <x:v>110000</x:v>
      </x:c>
      <x:c r="G32" s="6"/>
      <x:c r="H32" s="299"/>
      <x:c r="I32" s="3" t="s">
        <x:v>1120</x:v>
      </x:c>
      <x:c r="J32" s="3" t="s">
        <x:v>167</x:v>
      </x:c>
      <x:c r="K32" s="4">
        <x:v>25000</x:v>
      </x:c>
      <x:c r="L32" s="4">
        <x:f>K32*0.1</x:f>
        <x:v>2500</x:v>
      </x:c>
      <x:c r="M32" s="5">
        <x:f t="shared" ref="M32:M37" si="5">+K32+L32</x:f>
        <x:v>27500</x:v>
      </x:c>
      <x:c r="N32" s="6"/>
    </x:row>
    <x:row r="33" spans="1:14" ht="20.100000000000001" customHeight="1">
      <x:c r="A33" s="299"/>
      <x:c r="B33" s="3" t="s">
        <x:v>247</x:v>
      </x:c>
      <x:c r="C33" s="3" t="s">
        <x:v>231</x:v>
      </x:c>
      <x:c r="D33" s="4">
        <x:v>37248</x:v>
      </x:c>
      <x:c r="E33" s="4">
        <x:f>+INT(D33*0.1)</x:f>
        <x:v>3724</x:v>
      </x:c>
      <x:c r="F33" s="5">
        <x:f t="shared" si="4"/>
        <x:v>40972</x:v>
      </x:c>
      <x:c r="G33" s="146"/>
      <x:c r="H33" s="299"/>
      <x:c r="I33" s="3" t="s">
        <x:v>247</x:v>
      </x:c>
      <x:c r="J33" s="3" t="s">
        <x:v>231</x:v>
      </x:c>
      <x:c r="K33" s="4">
        <x:v>21000</x:v>
      </x:c>
      <x:c r="L33" s="4">
        <x:f>+K33*0.1</x:f>
        <x:v>2100</x:v>
      </x:c>
      <x:c r="M33" s="5">
        <x:f t="shared" si="5"/>
        <x:v>23100</x:v>
      </x:c>
      <x:c r="N33" s="6"/>
    </x:row>
    <x:row r="34" spans="1:14" ht="20.100000000000001" customHeight="1">
      <x:c r="A34" s="299"/>
      <x:c r="B34" s="3" t="s">
        <x:v>238</x:v>
      </x:c>
      <x:c r="C34" s="3" t="s">
        <x:v>405</x:v>
      </x:c>
      <x:c r="D34" s="4">
        <x:v>420000</x:v>
      </x:c>
      <x:c r="E34" s="4"/>
      <x:c r="F34" s="5">
        <x:f t="shared" si="4"/>
        <x:v>420000</x:v>
      </x:c>
      <x:c r="G34" s="146"/>
      <x:c r="H34" s="299"/>
      <x:c r="I34" s="3" t="s">
        <x:v>774</x:v>
      </x:c>
      <x:c r="J34" s="3" t="s">
        <x:v>1233</x:v>
      </x:c>
      <x:c r="K34" s="4">
        <x:v>2100000</x:v>
      </x:c>
      <x:c r="L34" s="4">
        <x:f>+K34*0.1</x:f>
        <x:v>210000</x:v>
      </x:c>
      <x:c r="M34" s="5">
        <x:f t="shared" si="5"/>
        <x:v>2310000</x:v>
      </x:c>
      <x:c r="N34" s="6"/>
    </x:row>
    <x:row r="35" spans="1:14" ht="20.100000000000001" customHeight="1">
      <x:c r="A35" s="299"/>
      <x:c r="B35" s="3" t="s">
        <x:v>1304</x:v>
      </x:c>
      <x:c r="C35" s="3" t="s">
        <x:v>167</x:v>
      </x:c>
      <x:c r="D35" s="4">
        <x:v>152000</x:v>
      </x:c>
      <x:c r="E35" s="4">
        <x:f>+INT(D35*0.1)</x:f>
        <x:v>15200</x:v>
      </x:c>
      <x:c r="F35" s="5">
        <x:f t="shared" si="4"/>
        <x:v>167200</x:v>
      </x:c>
      <x:c r="G35" s="146"/>
      <x:c r="H35" s="299"/>
      <x:c r="I35" s="3"/>
      <x:c r="J35" s="3"/>
      <x:c r="K35" s="4"/>
      <x:c r="L35" s="4">
        <x:f>+K35*0.1</x:f>
        <x:v>0</x:v>
      </x:c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4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4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3752448</x:v>
      </x:c>
      <x:c r="E38" s="9">
        <x:f>SUM(E28:E37)</x:f>
        <x:v>164014</x:v>
      </x:c>
      <x:c r="F38" s="10">
        <x:f>SUM(F28:F37)</x:f>
        <x:v>3916462</x:v>
      </x:c>
      <x:c r="G38" s="11"/>
      <x:c r="H38" s="7"/>
      <x:c r="I38" s="8"/>
      <x:c r="J38" s="8"/>
      <x:c r="K38" s="9">
        <x:f>SUM(K28:K37)</x:f>
        <x:v>4404270</x:v>
      </x:c>
      <x:c r="L38" s="9">
        <x:f>SUM(L28:L37)</x:f>
        <x:v>352510</x:v>
      </x:c>
      <x:c r="M38" s="10">
        <x:f>SUM(M28:M37)</x:f>
        <x:v>4756780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101825748</x:v>
      </x:c>
      <x:c r="E39" s="14">
        <x:f>+E17+E22+E27+E38</x:f>
        <x:v>1457344</x:v>
      </x:c>
      <x:c r="F39" s="15">
        <x:f>+F17+F22+F27+F38</x:f>
        <x:v>103283092</x:v>
      </x:c>
      <x:c r="G39" s="16"/>
      <x:c r="H39" s="12"/>
      <x:c r="I39" s="13"/>
      <x:c r="J39" s="13"/>
      <x:c r="K39" s="14">
        <x:f>+K17+K22+K27+K38</x:f>
        <x:v>55906810</x:v>
      </x:c>
      <x:c r="L39" s="14">
        <x:f>+L17+L22+L27+L38</x:f>
        <x:v>3243764</x:v>
      </x:c>
      <x:c r="M39" s="15">
        <x:f>+M17+M22+M27+M38</x:f>
        <x:v>59150574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4787252</x:v>
      </x:c>
      <x:c r="E40" s="25">
        <x:f>+E4-E39</x:f>
        <x:v>1929656</x:v>
      </x:c>
      <x:c r="F40" s="26">
        <x:f>+F4-F39</x:f>
        <x:v>6716908</x:v>
      </x:c>
      <x:c r="G40" s="27"/>
      <x:c r="H40" s="23"/>
      <x:c r="I40" s="24"/>
      <x:c r="J40" s="24"/>
      <x:c r="K40" s="25">
        <x:f>+K4-K39</x:f>
        <x:v>-30810</x:v>
      </x:c>
      <x:c r="L40" s="25">
        <x:f>+L4-L39</x:f>
        <x:v>-3119764</x:v>
      </x:c>
      <x:c r="M40" s="26">
        <x:f>+M4-M39</x:f>
        <x:v>-3150574</x:v>
      </x:c>
      <x:c r="N40" s="27"/>
    </x:row>
    <x:row r="41" spans="1:14" ht="20.100000000000001" customHeight="1">
      <x:c r="A41" s="302" t="s">
        <x:v>1021</x:v>
      </x:c>
      <x:c r="B41" s="303"/>
      <x:c r="C41" s="303"/>
      <x:c r="D41" s="303"/>
      <x:c r="E41" s="303"/>
      <x:c r="F41" s="304"/>
      <x:c r="G41" s="305"/>
      <x:c r="H41" s="302" t="s">
        <x:v>789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85" t="s">
        <x:v>144</x:v>
      </x:c>
      <x:c r="C42" s="185" t="s">
        <x:v>150</x:v>
      </x:c>
      <x:c r="D42" s="31" t="s">
        <x:v>145</x:v>
      </x:c>
      <x:c r="E42" s="31" t="s">
        <x:v>152</x:v>
      </x:c>
      <x:c r="F42" s="31" t="s">
        <x:v>146</x:v>
      </x:c>
      <x:c r="G42" s="34" t="s">
        <x:v>154</x:v>
      </x:c>
      <x:c r="H42" s="29" t="s">
        <x:v>147</x:v>
      </x:c>
      <x:c r="I42" s="185" t="s">
        <x:v>144</x:v>
      </x:c>
      <x:c r="J42" s="185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41" t="s">
        <x:v>151</x:v>
      </x:c>
      <x:c r="B43" s="149" t="s">
        <x:v>1679</x:v>
      </x:c>
      <x:c r="C43" s="149" t="s">
        <x:v>1030</x:v>
      </x:c>
      <x:c r="D43" s="150">
        <x:f>60259373+25550000</x:f>
        <x:v>85809373</x:v>
      </x:c>
      <x:c r="E43" s="150">
        <x:f>640627+2555000</x:f>
        <x:v>3195627</x:v>
      </x:c>
      <x:c r="F43" s="40">
        <x:f>+D43+E43</x:f>
        <x:v>89005000</x:v>
      </x:c>
      <x:c r="G43" s="42" t="s">
        <x:v>1214</x:v>
      </x:c>
      <x:c r="H43" s="184" t="s">
        <x:v>151</x:v>
      </x:c>
      <x:c r="I43" s="38" t="s">
        <x:v>1679</x:v>
      </x:c>
      <x:c r="J43" s="38" t="s">
        <x:v>156</x:v>
      </x:c>
      <x:c r="K43" s="39"/>
      <x:c r="L43" s="39">
        <x:f t="shared" ref="L43:L48" si="6">+K43*0.1</x:f>
        <x:v>0</x:v>
      </x:c>
      <x:c r="M43" s="40">
        <x:f t="shared" ref="M43:M51" si="7">+K43+L43</x:f>
        <x:v>0</x:v>
      </x:c>
      <x:c r="N43" s="18"/>
    </x:row>
    <x:row r="44" spans="1:14" ht="20.100000000000001" customHeight="1">
      <x:c r="A44" s="298" t="s">
        <x:v>148</x:v>
      </x:c>
      <x:c r="B44" s="147" t="s">
        <x:v>867</x:v>
      </x:c>
      <x:c r="C44" s="147"/>
      <x:c r="D44" s="148"/>
      <x:c r="E44" s="148">
        <x:f>D44*0.1</x:f>
        <x:v>0</x:v>
      </x:c>
      <x:c r="F44" s="21">
        <x:f t="shared" ref="F44:F52" si="8">+D44+E44</x:f>
        <x:v>0</x:v>
      </x:c>
      <x:c r="G44" s="22"/>
      <x:c r="H44" s="298" t="s">
        <x:v>148</x:v>
      </x:c>
      <x:c r="I44" s="54" t="s">
        <x:v>867</x:v>
      </x:c>
      <x:c r="J44" s="54" t="s">
        <x:v>375</x:v>
      </x:c>
      <x:c r="K44" s="93">
        <x:v>3152710</x:v>
      </x:c>
      <x:c r="L44" s="93">
        <x:f t="shared" si="6"/>
        <x:v>315271</x:v>
      </x:c>
      <x:c r="M44" s="94">
        <x:f t="shared" si="7"/>
        <x:v>3467981</x:v>
      </x:c>
      <x:c r="N44" s="95"/>
    </x:row>
    <x:row r="45" spans="1:14" ht="20.100000000000001" customHeight="1">
      <x:c r="A45" s="299"/>
      <x:c r="B45" s="3" t="s">
        <x:v>838</x:v>
      </x:c>
      <x:c r="C45" s="3" t="s">
        <x:v>1255</x:v>
      </x:c>
      <x:c r="D45" s="4">
        <x:v>358000</x:v>
      </x:c>
      <x:c r="E45" s="4">
        <x:f t="shared" ref="E45:E51" si="9">+D45*0.1</x:f>
        <x:v>35800</x:v>
      </x:c>
      <x:c r="F45" s="5">
        <x:f t="shared" si="8"/>
        <x:v>393800</x:v>
      </x:c>
      <x:c r="G45" s="6"/>
      <x:c r="H45" s="299"/>
      <x:c r="I45" s="162" t="s">
        <x:v>840</x:v>
      </x:c>
      <x:c r="J45" s="162" t="s">
        <x:v>600</x:v>
      </x:c>
      <x:c r="K45" s="163">
        <x:v>1317000</x:v>
      </x:c>
      <x:c r="L45" s="163">
        <x:f t="shared" si="6"/>
        <x:v>131700</x:v>
      </x:c>
      <x:c r="M45" s="164">
        <x:f t="shared" si="7"/>
        <x:v>1448700</x:v>
      </x:c>
      <x:c r="N45" s="158"/>
    </x:row>
    <x:row r="46" spans="1:14" ht="20.100000000000001" customHeight="1">
      <x:c r="A46" s="299"/>
      <x:c r="B46" s="3" t="s">
        <x:v>1058</x:v>
      </x:c>
      <x:c r="C46" s="3"/>
      <x:c r="D46" s="4"/>
      <x:c r="E46" s="4">
        <x:f t="shared" si="9"/>
        <x:v>0</x:v>
      </x:c>
      <x:c r="F46" s="5">
        <x:f t="shared" si="8"/>
        <x:v>0</x:v>
      </x:c>
      <x:c r="G46" s="6"/>
      <x:c r="H46" s="299"/>
      <x:c r="I46" s="3" t="s">
        <x:v>846</x:v>
      </x:c>
      <x:c r="J46" s="3" t="s">
        <x:v>1335</x:v>
      </x:c>
      <x:c r="K46" s="4">
        <x:v>100000</x:v>
      </x:c>
      <x:c r="L46" s="4">
        <x:f t="shared" si="6"/>
        <x:v>10000</x:v>
      </x:c>
      <x:c r="M46" s="5">
        <x:f t="shared" si="7"/>
        <x:v>110000</x:v>
      </x:c>
      <x:c r="N46" s="6"/>
    </x:row>
    <x:row r="47" spans="1:14" ht="20.100000000000001" customHeight="1">
      <x:c r="A47" s="299"/>
      <x:c r="B47" s="3" t="s">
        <x:v>967</x:v>
      </x:c>
      <x:c r="C47" s="3" t="s">
        <x:v>1342</x:v>
      </x:c>
      <x:c r="D47" s="4">
        <x:v>597600</x:v>
      </x:c>
      <x:c r="E47" s="4">
        <x:f t="shared" si="9"/>
        <x:v>59760</x:v>
      </x:c>
      <x:c r="F47" s="5">
        <x:f t="shared" si="8"/>
        <x:v>657360</x:v>
      </x:c>
      <x:c r="G47" s="6"/>
      <x:c r="H47" s="299"/>
      <x:c r="I47" s="3" t="s">
        <x:v>838</x:v>
      </x:c>
      <x:c r="J47" s="3" t="s">
        <x:v>1349</x:v>
      </x:c>
      <x:c r="K47" s="4">
        <x:v>986400</x:v>
      </x:c>
      <x:c r="L47" s="4">
        <x:f t="shared" si="6"/>
        <x:v>98640</x:v>
      </x:c>
      <x:c r="M47" s="5">
        <x:f t="shared" si="7"/>
        <x:v>1085040</x:v>
      </x:c>
      <x:c r="N47" s="6"/>
    </x:row>
    <x:row r="48" spans="1:14" ht="20.100000000000001" customHeight="1">
      <x:c r="A48" s="299"/>
      <x:c r="B48" s="3" t="s">
        <x:v>854</x:v>
      </x:c>
      <x:c r="C48" s="3" t="s">
        <x:v>765</x:v>
      </x:c>
      <x:c r="D48" s="4">
        <x:v>-10680</x:v>
      </x:c>
      <x:c r="E48" s="4">
        <x:f t="shared" si="9"/>
        <x:v>-1068</x:v>
      </x:c>
      <x:c r="F48" s="5">
        <x:f t="shared" si="8"/>
        <x:v>-11748</x:v>
      </x:c>
      <x:c r="G48" s="6" t="s">
        <x:v>465</x:v>
      </x:c>
      <x:c r="H48" s="299"/>
      <x:c r="I48" s="3" t="s">
        <x:v>938</x:v>
      </x:c>
      <x:c r="J48" s="3" t="s">
        <x:v>1352</x:v>
      </x:c>
      <x:c r="K48" s="4">
        <x:v>165000</x:v>
      </x:c>
      <x:c r="L48" s="4">
        <x:f t="shared" si="6"/>
        <x:v>16500</x:v>
      </x:c>
      <x:c r="M48" s="5">
        <x:f>+K48+L48</x:f>
        <x:v>181500</x:v>
      </x:c>
      <x:c r="N48" s="6" t="s">
        <x:v>1344</x:v>
      </x:c>
    </x:row>
    <x:row r="49" spans="1:14" ht="20.100000000000001" customHeight="1">
      <x:c r="A49" s="299"/>
      <x:c r="B49" s="3" t="s">
        <x:v>846</x:v>
      </x:c>
      <x:c r="C49" s="3" t="s">
        <x:v>182</x:v>
      </x:c>
      <x:c r="D49" s="4">
        <x:v>90000</x:v>
      </x:c>
      <x:c r="E49" s="4">
        <x:f t="shared" si="9"/>
        <x:v>9000</x:v>
      </x:c>
      <x:c r="F49" s="5">
        <x:f t="shared" si="8"/>
        <x:v>99000</x:v>
      </x:c>
      <x:c r="G49" s="6"/>
      <x:c r="H49" s="299"/>
      <x:c r="I49" s="3" t="s">
        <x:v>1332</x:v>
      </x:c>
      <x:c r="J49" s="3" t="s">
        <x:v>280</x:v>
      </x:c>
      <x:c r="K49" s="4">
        <x:v>145000</x:v>
      </x:c>
      <x:c r="L49" s="4">
        <x:f>+INT(K49*0.1)</x:f>
        <x:v>14500</x:v>
      </x:c>
      <x:c r="M49" s="5">
        <x:f>+K49+L49</x:f>
        <x:v>159500</x:v>
      </x:c>
      <x:c r="N49" s="6"/>
    </x:row>
    <x:row r="50" spans="1:14" ht="20.100000000000001" customHeight="1">
      <x:c r="A50" s="299"/>
      <x:c r="B50" s="3" t="s">
        <x:v>1332</x:v>
      </x:c>
      <x:c r="C50" s="3" t="s">
        <x:v>280</x:v>
      </x:c>
      <x:c r="D50" s="4">
        <x:v>58000</x:v>
      </x:c>
      <x:c r="E50" s="4">
        <x:f t="shared" si="9"/>
        <x:v>5800</x:v>
      </x:c>
      <x:c r="F50" s="5">
        <x:f t="shared" si="8"/>
        <x:v>63800</x:v>
      </x:c>
      <x:c r="G50" s="6"/>
      <x:c r="H50" s="299"/>
      <x:c r="I50" s="3"/>
      <x:c r="J50" s="3"/>
      <x:c r="K50" s="4"/>
      <x:c r="L50" s="4">
        <x:f>+INT(K50*0.1)</x:f>
        <x:v>0</x:v>
      </x:c>
      <x:c r="M50" s="5">
        <x:f t="shared" si="7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/>
      <x:c r="J51" s="3"/>
      <x:c r="K51" s="4"/>
      <x:c r="L51" s="4">
        <x:f>+INT(K51*0.1)</x:f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>+INT(D52*0.1)</x:f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/>
      <x:c r="M52" s="5"/>
      <x:c r="N52" s="6"/>
    </x:row>
    <x:row r="53" spans="1:14" ht="20.100000000000001" customHeight="1">
      <x:c r="A53" s="299"/>
      <x:c r="B53" s="3"/>
      <x:c r="C53" s="3"/>
      <x:c r="D53" s="4"/>
      <x:c r="E53" s="4"/>
      <x:c r="F53" s="5"/>
      <x:c r="G53" s="6"/>
      <x:c r="H53" s="299"/>
      <x:c r="I53" s="3"/>
      <x:c r="J53" s="3"/>
      <x:c r="K53" s="4"/>
      <x:c r="L53" s="4">
        <x:f t="shared" ref="L53:L58" si="10">+INT(K53*0.1)</x:f>
        <x:v>0</x:v>
      </x:c>
      <x:c r="M53" s="5">
        <x:f t="shared" ref="M53:M58" si="11">+K53+L53</x:f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/>
      <x:c r="F54" s="5"/>
      <x:c r="G54" s="6"/>
      <x:c r="H54" s="299"/>
      <x:c r="I54" s="3"/>
      <x:c r="J54" s="3"/>
      <x:c r="K54" s="4"/>
      <x:c r="L54" s="4">
        <x:f t="shared" si="10"/>
        <x:v>0</x:v>
      </x:c>
      <x:c r="M54" s="5">
        <x:f t="shared" si="11"/>
        <x:v>0</x:v>
      </x:c>
      <x:c r="N54" s="6"/>
    </x:row>
    <x:row r="55" spans="1:14" ht="20.100000000000001" customHeight="1">
      <x:c r="A55" s="299"/>
      <x:c r="B55" s="129"/>
      <x:c r="C55" s="129"/>
      <x:c r="D55" s="4"/>
      <x:c r="E55" s="4">
        <x:f>+D55*0.1</x:f>
        <x:v>0</x:v>
      </x:c>
      <x:c r="F55" s="5">
        <x:f>+D55+E55</x:f>
        <x:v>0</x:v>
      </x:c>
      <x:c r="G55" s="6"/>
      <x:c r="H55" s="299"/>
      <x:c r="I55" s="3"/>
      <x:c r="J55" s="3"/>
      <x:c r="K55" s="4"/>
      <x:c r="L55" s="4">
        <x:f t="shared" si="10"/>
        <x:v>0</x:v>
      </x:c>
      <x:c r="M55" s="5">
        <x:f t="shared" si="11"/>
        <x:v>0</x:v>
      </x:c>
      <x:c r="N55" s="6"/>
    </x:row>
    <x:row r="56" spans="1:14" ht="20.100000000000001" customHeight="1">
      <x:c r="A56" s="299"/>
      <x:c r="B56" s="129"/>
      <x:c r="C56" s="129"/>
      <x:c r="D56" s="130"/>
      <x:c r="E56" s="130">
        <x:f>+INT(D56*0.1)</x:f>
        <x:v>0</x:v>
      </x:c>
      <x:c r="F56" s="5">
        <x:f>+D56+E56</x:f>
        <x:v>0</x:v>
      </x:c>
      <x:c r="G56" s="6"/>
      <x:c r="H56" s="299"/>
      <x:c r="I56" s="3"/>
      <x:c r="J56" s="3"/>
      <x:c r="K56" s="4"/>
      <x:c r="L56" s="4">
        <x:f t="shared" si="10"/>
        <x:v>0</x:v>
      </x:c>
      <x:c r="M56" s="5">
        <x:f t="shared" si="11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>+D57*0.1</x:f>
        <x:v>0</x:v>
      </x:c>
      <x:c r="F57" s="131">
        <x:f>+D57+E57</x:f>
        <x:v>0</x:v>
      </x:c>
      <x:c r="G57" s="6"/>
      <x:c r="H57" s="299"/>
      <x:c r="I57" s="3"/>
      <x:c r="J57" s="3"/>
      <x:c r="K57" s="4"/>
      <x:c r="L57" s="4">
        <x:f t="shared" si="10"/>
        <x:v>0</x:v>
      </x:c>
      <x:c r="M57" s="5">
        <x:f t="shared" si="11"/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>+D58*0.1</x:f>
        <x:v>0</x:v>
      </x:c>
      <x:c r="F58" s="5">
        <x:f>+D58+E58</x:f>
        <x:v>0</x:v>
      </x:c>
      <x:c r="G58" s="132"/>
      <x:c r="H58" s="299"/>
      <x:c r="I58" s="3"/>
      <x:c r="J58" s="3"/>
      <x:c r="K58" s="4"/>
      <x:c r="L58" s="4">
        <x:f t="shared" si="10"/>
        <x:v>0</x:v>
      </x:c>
      <x:c r="M58" s="5">
        <x:f t="shared" si="11"/>
        <x:v>0</x:v>
      </x:c>
      <x:c r="N58" s="6"/>
    </x:row>
    <x:row r="59" spans="1:14" ht="20.100000000000001" customHeight="1">
      <x:c r="A59" s="299"/>
      <x:c r="B59" s="129"/>
      <x:c r="C59" s="129"/>
      <x:c r="D59" s="4"/>
      <x:c r="E59" s="4">
        <x:f>+D59*0.1</x:f>
        <x:v>0</x:v>
      </x:c>
      <x:c r="F59" s="5">
        <x:f>+D59+E59</x:f>
        <x:v>0</x:v>
      </x:c>
      <x:c r="G59" s="6"/>
      <x:c r="H59" s="300"/>
      <x:c r="I59" s="3"/>
      <x:c r="J59" s="3"/>
      <x:c r="K59" s="4"/>
      <x:c r="L59" s="4"/>
      <x:c r="M59" s="5"/>
      <x:c r="N59" s="6"/>
    </x:row>
    <x:row r="60" spans="1:14" ht="20.100000000000001" customHeight="1">
      <x:c r="A60" s="7"/>
      <x:c r="B60" s="8"/>
      <x:c r="C60" s="8"/>
      <x:c r="D60" s="9">
        <x:f>SUM(D44:D59)</x:f>
        <x:v>1092920</x:v>
      </x:c>
      <x:c r="E60" s="9">
        <x:f>SUM(E44:E59)</x:f>
        <x:v>109292</x:v>
      </x:c>
      <x:c r="F60" s="10">
        <x:f>SUM(F44:F59)</x:f>
        <x:v>1202212</x:v>
      </x:c>
      <x:c r="G60" s="11"/>
      <x:c r="H60" s="7" t="s">
        <x:v>155</x:v>
      </x:c>
      <x:c r="I60" s="8"/>
      <x:c r="J60" s="8"/>
      <x:c r="K60" s="9">
        <x:f>SUM(K44:K59)</x:f>
        <x:v>5866110</x:v>
      </x:c>
      <x:c r="L60" s="9">
        <x:f>SUM(L44:L59)</x:f>
        <x:v>586611</x:v>
      </x:c>
      <x:c r="M60" s="10">
        <x:f>SUM(M44:M59)</x:f>
        <x:v>6452721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1129</x:v>
      </x:c>
      <x:c r="D61" s="4">
        <x:v>16430000</x:v>
      </x:c>
      <x:c r="E61" s="4"/>
      <x:c r="F61" s="5">
        <x:f>+D61+E61</x:f>
        <x:v>16430000</x:v>
      </x:c>
      <x:c r="G61" s="6"/>
      <x:c r="H61" s="301" t="s">
        <x:v>153</x:v>
      </x:c>
      <x:c r="I61" s="3" t="s">
        <x:v>1677</x:v>
      </x:c>
      <x:c r="J61" s="3" t="s">
        <x:v>1308</x:v>
      </x:c>
      <x:c r="K61" s="44">
        <x:v>13900000</x:v>
      </x:c>
      <x:c r="L61" s="44"/>
      <x:c r="M61" s="45">
        <x:f>+K61+L61</x:f>
        <x:v>13900000</x:v>
      </x:c>
      <x:c r="N61" s="37"/>
    </x:row>
    <x:row r="62" spans="1:14" ht="20.100000000000001" customHeight="1">
      <x:c r="A62" s="299"/>
      <x:c r="B62" s="3"/>
      <x:c r="C62" s="3"/>
      <x:c r="D62" s="4"/>
      <x:c r="E62" s="4"/>
      <x:c r="F62" s="5">
        <x:f>+D62+E62</x:f>
        <x:v>0</x:v>
      </x:c>
      <x:c r="G62" s="6"/>
      <x:c r="H62" s="299"/>
      <x:c r="I62" s="3" t="s">
        <x:v>960</x:v>
      </x:c>
      <x:c r="J62" s="3" t="s">
        <x:v>950</x:v>
      </x:c>
      <x:c r="K62" s="44"/>
      <x:c r="L62" s="44">
        <x:f>+K62*0.1</x:f>
        <x:v>0</x:v>
      </x:c>
      <x:c r="M62" s="45">
        <x:f>+K62+L62</x:f>
        <x:v>0</x:v>
      </x:c>
      <x:c r="N62" s="37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/>
      <x:c r="B65" s="8"/>
      <x:c r="C65" s="8"/>
      <x:c r="D65" s="9">
        <x:f>SUM(D61:D64)</x:f>
        <x:v>16430000</x:v>
      </x:c>
      <x:c r="E65" s="9">
        <x:f>SUM(E61:E64)</x:f>
        <x:v>0</x:v>
      </x:c>
      <x:c r="F65" s="10">
        <x:f>SUM(F61:F64)</x:f>
        <x:v>16430000</x:v>
      </x:c>
      <x:c r="G65" s="11"/>
      <x:c r="H65" s="7" t="s">
        <x:v>155</x:v>
      </x:c>
      <x:c r="I65" s="8"/>
      <x:c r="J65" s="8"/>
      <x:c r="K65" s="9">
        <x:f>SUM(K61:K64)</x:f>
        <x:v>13900000</x:v>
      </x:c>
      <x:c r="L65" s="9">
        <x:f>SUM(L61:L64)</x:f>
        <x:v>0</x:v>
      </x:c>
      <x:c r="M65" s="10">
        <x:f>SUM(M61:M64)</x:f>
        <x:v>13900000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1006</x:v>
      </x:c>
      <x:c r="D66" s="4">
        <x:v>80000</x:v>
      </x:c>
      <x:c r="E66" s="4">
        <x:f>+D66*0.1</x:f>
        <x:v>8000</x:v>
      </x:c>
      <x:c r="F66" s="5">
        <x:f>+D66+E66</x:f>
        <x:v>88000</x:v>
      </x:c>
      <x:c r="G66" s="6" t="s">
        <x:v>1259</x:v>
      </x:c>
      <x:c r="H66" s="301" t="s">
        <x:v>187</x:v>
      </x:c>
      <x:c r="I66" s="3" t="s">
        <x:v>1355</x:v>
      </x:c>
      <x:c r="J66" s="3" t="s">
        <x:v>1350</x:v>
      </x:c>
      <x:c r="K66" s="4">
        <x:v>400000</x:v>
      </x:c>
      <x:c r="L66" s="4">
        <x:f>+K66*0.1</x:f>
        <x:v>40000</x:v>
      </x:c>
      <x:c r="M66" s="5">
        <x:f>+K66+L66</x:f>
        <x:v>440000</x:v>
      </x:c>
      <x:c r="N66" s="6" t="s">
        <x:v>1326</x:v>
      </x:c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299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/>
      <x:c r="B70" s="8"/>
      <x:c r="C70" s="8"/>
      <x:c r="D70" s="9">
        <x:f>SUM(D66:D69)</x:f>
        <x:v>80000</x:v>
      </x:c>
      <x:c r="E70" s="9">
        <x:f>SUM(E66:E69)</x:f>
        <x:v>8000</x:v>
      </x:c>
      <x:c r="F70" s="10">
        <x:f>SUM(F66:F69)</x:f>
        <x:v>88000</x:v>
      </x:c>
      <x:c r="G70" s="11"/>
      <x:c r="H70" s="7" t="s">
        <x:v>155</x:v>
      </x:c>
      <x:c r="I70" s="8"/>
      <x:c r="J70" s="8"/>
      <x:c r="K70" s="9">
        <x:f>SUM(K66:K69)</x:f>
        <x:v>400000</x:v>
      </x:c>
      <x:c r="L70" s="9">
        <x:f>SUM(L66:L69)</x:f>
        <x:v>40000</x:v>
      </x:c>
      <x:c r="M70" s="10">
        <x:f>SUM(M66:M69)</x:f>
        <x:v>440000</x:v>
      </x:c>
      <x:c r="N70" s="11"/>
    </x:row>
    <x:row r="71" spans="1:14" ht="20.100000000000001" customHeight="1">
      <x:c r="A71" s="301" t="s">
        <x:v>149</x:v>
      </x:c>
      <x:c r="B71" s="3" t="s">
        <x:v>158</x:v>
      </x:c>
      <x:c r="C71" s="3" t="s">
        <x:v>837</x:v>
      </x:c>
      <x:c r="D71" s="4">
        <x:v>493400</x:v>
      </x:c>
      <x:c r="E71" s="4"/>
      <x:c r="F71" s="5">
        <x:f t="shared" ref="F71:F76" si="12">+D71+E71</x:f>
        <x:v>493400</x:v>
      </x:c>
      <x:c r="G71" s="6"/>
      <x:c r="H71" s="301" t="s">
        <x:v>149</x:v>
      </x:c>
      <x:c r="I71" s="3" t="s">
        <x:v>248</x:v>
      </x:c>
      <x:c r="J71" s="3" t="s">
        <x:v>149</x:v>
      </x:c>
      <x:c r="K71" s="4">
        <x:v>9570</x:v>
      </x:c>
      <x:c r="L71" s="4"/>
      <x:c r="M71" s="5">
        <x:f>+K71+L71</x:f>
        <x:v>9570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100000</x:v>
      </x:c>
      <x:c r="E72" s="4">
        <x:f>+D72*0.1</x:f>
        <x:v>10000</x:v>
      </x:c>
      <x:c r="F72" s="5">
        <x:f t="shared" si="12"/>
        <x:v>110000</x:v>
      </x:c>
      <x:c r="G72" s="6"/>
      <x:c r="H72" s="299"/>
      <x:c r="I72" s="3" t="s">
        <x:v>248</x:v>
      </x:c>
      <x:c r="J72" s="3" t="s">
        <x:v>1312</x:v>
      </x:c>
      <x:c r="K72" s="4">
        <x:v>783524</x:v>
      </x:c>
      <x:c r="L72" s="4">
        <x:v>78346</x:v>
      </x:c>
      <x:c r="M72" s="5">
        <x:f>+K72+L72</x:f>
        <x:v>861870</x:v>
      </x:c>
      <x:c r="N72" s="6"/>
    </x:row>
    <x:row r="73" spans="1:14" ht="20.100000000000001" customHeight="1">
      <x:c r="A73" s="299"/>
      <x:c r="B73" s="3" t="s">
        <x:v>1047</x:v>
      </x:c>
      <x:c r="C73" s="3" t="s">
        <x:v>962</x:v>
      </x:c>
      <x:c r="D73" s="4">
        <x:v>510000</x:v>
      </x:c>
      <x:c r="E73" s="4">
        <x:f>+D73*0.1</x:f>
        <x:v>51000</x:v>
      </x:c>
      <x:c r="F73" s="5">
        <x:f t="shared" si="12"/>
        <x:v>561000</x:v>
      </x:c>
      <x:c r="G73" s="6"/>
      <x:c r="H73" s="299"/>
      <x:c r="I73" s="3" t="s">
        <x:v>284</x:v>
      </x:c>
      <x:c r="J73" s="3" t="s">
        <x:v>149</x:v>
      </x:c>
      <x:c r="K73" s="4"/>
      <x:c r="L73" s="4"/>
      <x:c r="M73" s="5">
        <x:f t="shared" ref="M73:M80" si="13">+K73+L73</x:f>
        <x:v>0</x:v>
      </x:c>
      <x:c r="N73" s="6"/>
    </x:row>
    <x:row r="74" spans="1:14" ht="20.100000000000001" customHeight="1">
      <x:c r="A74" s="299"/>
      <x:c r="B74" s="3" t="s">
        <x:v>1061</x:v>
      </x:c>
      <x:c r="C74" s="3" t="s">
        <x:v>167</x:v>
      </x:c>
      <x:c r="D74" s="4">
        <x:v>85000</x:v>
      </x:c>
      <x:c r="E74" s="4">
        <x:f>+D74*0.1</x:f>
        <x:v>8500</x:v>
      </x:c>
      <x:c r="F74" s="5">
        <x:f t="shared" si="12"/>
        <x:v>93500</x:v>
      </x:c>
      <x:c r="G74" s="6"/>
      <x:c r="H74" s="299"/>
      <x:c r="I74" s="3" t="s">
        <x:v>249</x:v>
      </x:c>
      <x:c r="J74" s="3" t="s">
        <x:v>608</x:v>
      </x:c>
      <x:c r="K74" s="4">
        <x:v>550000</x:v>
      </x:c>
      <x:c r="L74" s="4"/>
      <x:c r="M74" s="5">
        <x:f t="shared" si="13"/>
        <x:v>550000</x:v>
      </x:c>
      <x:c r="N74" s="6"/>
    </x:row>
    <x:row r="75" spans="1:14" ht="20.100000000000001" customHeight="1">
      <x:c r="A75" s="299"/>
      <x:c r="B75" s="3" t="s">
        <x:v>247</x:v>
      </x:c>
      <x:c r="C75" s="3" t="s">
        <x:v>231</x:v>
      </x:c>
      <x:c r="D75" s="4">
        <x:v>21000</x:v>
      </x:c>
      <x:c r="E75" s="4">
        <x:f>+D75*0.1</x:f>
        <x:v>2100</x:v>
      </x:c>
      <x:c r="F75" s="5">
        <x:f t="shared" si="12"/>
        <x:v>23100</x:v>
      </x:c>
      <x:c r="G75" s="6" t="s">
        <x:v>275</x:v>
      </x:c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3"/>
        <x:v>110000</x:v>
      </x:c>
      <x:c r="N75" s="6"/>
    </x:row>
    <x:row r="76" spans="1:14" ht="20.100000000000001" customHeight="1">
      <x:c r="A76" s="299"/>
      <x:c r="B76" s="3" t="s">
        <x:v>774</x:v>
      </x:c>
      <x:c r="C76" s="3" t="s">
        <x:v>1233</x:v>
      </x:c>
      <x:c r="D76" s="4">
        <x:v>2100000</x:v>
      </x:c>
      <x:c r="E76" s="4">
        <x:f>+D76*0.1</x:f>
        <x:v>210000</x:v>
      </x:c>
      <x:c r="F76" s="5">
        <x:f t="shared" si="12"/>
        <x:v>2310000</x:v>
      </x:c>
      <x:c r="G76" s="6" t="s">
        <x:v>266</x:v>
      </x:c>
      <x:c r="H76" s="299"/>
      <x:c r="I76" s="3" t="s">
        <x:v>1340</x:v>
      </x:c>
      <x:c r="J76" s="3" t="s">
        <x:v>28</x:v>
      </x:c>
      <x:c r="K76" s="4">
        <x:v>280500</x:v>
      </x:c>
      <x:c r="L76" s="4">
        <x:f>+K76*0.1</x:f>
        <x:v>28050</x:v>
      </x:c>
      <x:c r="M76" s="5">
        <x:f t="shared" si="13"/>
        <x:v>308550</x:v>
      </x:c>
      <x:c r="N76" s="6"/>
    </x:row>
    <x:row r="77" spans="1:14" ht="20.100000000000001" customHeight="1">
      <x:c r="A77" s="299"/>
      <x:c r="B77" s="3" t="s">
        <x:v>247</x:v>
      </x:c>
      <x:c r="C77" s="3" t="s">
        <x:v>231</x:v>
      </x:c>
      <x:c r="D77" s="4">
        <x:v>45249</x:v>
      </x:c>
      <x:c r="E77" s="4">
        <x:f>+D77*0.1-1</x:f>
        <x:v>4523.9000000000005</x:v>
      </x:c>
      <x:c r="F77" s="5">
        <x:f>+D77+E77</x:f>
        <x:v>49772.900000000001</x:v>
      </x:c>
      <x:c r="G77" s="6" t="s">
        <x:v>285</x:v>
      </x:c>
      <x:c r="H77" s="299"/>
      <x:c r="I77" s="3" t="s">
        <x:v>883</x:v>
      </x:c>
      <x:c r="J77" s="3" t="s">
        <x:v>412</x:v>
      </x:c>
      <x:c r="K77" s="4">
        <x:v>3500000</x:v>
      </x:c>
      <x:c r="L77" s="4">
        <x:f>+K77*0.1</x:f>
        <x:v>350000</x:v>
      </x:c>
      <x:c r="M77" s="5">
        <x:f t="shared" si="13"/>
        <x:v>3850000</x:v>
      </x:c>
      <x:c r="N77" s="6" t="s">
        <x:v>1344</x:v>
      </x:c>
    </x:row>
    <x:row r="78" spans="1:14" ht="20.100000000000001" customHeight="1">
      <x:c r="A78" s="299"/>
      <x:c r="B78" s="3" t="s">
        <x:v>473</x:v>
      </x:c>
      <x:c r="C78" s="3" t="s">
        <x:v>962</x:v>
      </x:c>
      <x:c r="D78" s="4">
        <x:v>150000</x:v>
      </x:c>
      <x:c r="E78" s="4">
        <x:f>+D78*0.1</x:f>
        <x:v>15000</x:v>
      </x:c>
      <x:c r="F78" s="5">
        <x:f>+D78+E78</x:f>
        <x:v>165000</x:v>
      </x:c>
      <x:c r="G78" s="6" t="s">
        <x:v>285</x:v>
      </x:c>
      <x:c r="H78" s="299"/>
      <x:c r="I78" s="3" t="s">
        <x:v>247</x:v>
      </x:c>
      <x:c r="J78" s="3" t="s">
        <x:v>231</x:v>
      </x:c>
      <x:c r="K78" s="4">
        <x:v>4800</x:v>
      </x:c>
      <x:c r="L78" s="4">
        <x:f>+K78*0.1</x:f>
        <x:v>480</x:v>
      </x:c>
      <x:c r="M78" s="5">
        <x:f t="shared" si="13"/>
        <x:v>5280</x:v>
      </x:c>
      <x:c r="N78" s="6"/>
    </x:row>
    <x:row r="79" spans="1:14" ht="20.100000000000001" customHeight="1">
      <x:c r="A79" s="299"/>
      <x:c r="B79" s="3"/>
      <x:c r="C79" s="3"/>
      <x:c r="D79" s="4"/>
      <x:c r="E79" s="4">
        <x:f>+D79*0.1</x:f>
        <x:v>0</x:v>
      </x:c>
      <x:c r="F79" s="5">
        <x:f>+D79+E79</x:f>
        <x:v>0</x:v>
      </x:c>
      <x:c r="G79" s="6"/>
      <x:c r="H79" s="299"/>
      <x:c r="I79" s="3"/>
      <x:c r="J79" s="3"/>
      <x:c r="K79" s="4"/>
      <x:c r="L79" s="4"/>
      <x:c r="M79" s="5">
        <x:f t="shared" si="13"/>
        <x:v>0</x:v>
      </x:c>
      <x:c r="N79" s="6"/>
    </x:row>
    <x:row r="80" spans="1:14" ht="20.100000000000001" customHeight="1">
      <x:c r="A80" s="300"/>
      <x:c r="B80" s="3"/>
      <x:c r="C80" s="3"/>
      <x:c r="D80" s="4"/>
      <x:c r="E80" s="4"/>
      <x:c r="F80" s="5"/>
      <x:c r="G80" s="6"/>
      <x:c r="H80" s="300"/>
      <x:c r="I80" s="3"/>
      <x:c r="J80" s="3"/>
      <x:c r="K80" s="4"/>
      <x:c r="L80" s="4"/>
      <x:c r="M80" s="5">
        <x:f t="shared" si="13"/>
        <x:v>0</x:v>
      </x:c>
      <x:c r="N80" s="6"/>
    </x:row>
    <x:row r="81" spans="1:14" ht="20.100000000000001" customHeight="1">
      <x:c r="A81" s="7"/>
      <x:c r="B81" s="8"/>
      <x:c r="C81" s="8"/>
      <x:c r="D81" s="9">
        <x:f>SUM(D71:D80)</x:f>
        <x:v>3504649</x:v>
      </x:c>
      <x:c r="E81" s="9">
        <x:f>SUM(E71:E80)</x:f>
        <x:v>301123.90000000002</x:v>
      </x:c>
      <x:c r="F81" s="10">
        <x:f>SUM(F71:F80)</x:f>
        <x:v>3805772.8999999999</x:v>
      </x:c>
      <x:c r="G81" s="11"/>
      <x:c r="H81" s="7" t="s">
        <x:v>155</x:v>
      </x:c>
      <x:c r="I81" s="8"/>
      <x:c r="J81" s="8"/>
      <x:c r="K81" s="9">
        <x:f>SUM(K71:K80)</x:f>
        <x:v>5228394</x:v>
      </x:c>
      <x:c r="L81" s="9">
        <x:f>SUM(L71:L80)</x:f>
        <x:v>466876</x:v>
      </x:c>
      <x:c r="M81" s="10">
        <x:f>SUM(M71:M80)</x:f>
        <x:v>5695270</x:v>
      </x:c>
      <x:c r="N81" s="11"/>
    </x:row>
    <x:row r="82" spans="1:14" ht="20.100000000000001" customHeight="1">
      <x:c r="A82" s="12" t="s">
        <x:v>1690</x:v>
      </x:c>
      <x:c r="B82" s="13"/>
      <x:c r="C82" s="13"/>
      <x:c r="D82" s="14">
        <x:f>+D60+D65+D70+D81</x:f>
        <x:v>21107569</x:v>
      </x:c>
      <x:c r="E82" s="14">
        <x:f>+E60+E65+E70+E81</x:f>
        <x:v>418415.90000000002</x:v>
      </x:c>
      <x:c r="F82" s="15">
        <x:f>+F60+F65+F70+F81</x:f>
        <x:v>21525984.899999999</x:v>
      </x:c>
      <x:c r="G82" s="16"/>
      <x:c r="H82" s="12" t="s">
        <x:v>1690</x:v>
      </x:c>
      <x:c r="I82" s="13"/>
      <x:c r="J82" s="13"/>
      <x:c r="K82" s="14">
        <x:f>+K60+K65+K70+K81</x:f>
        <x:v>25394504</x:v>
      </x:c>
      <x:c r="L82" s="14">
        <x:f>+L60+L65+L70+L81</x:f>
        <x:v>1093487</x:v>
      </x:c>
      <x:c r="M82" s="15">
        <x:f>+M60+M65+M70+M81</x:f>
        <x:v>26487991</x:v>
      </x:c>
      <x:c r="N82" s="16"/>
    </x:row>
    <x:row r="83" spans="1:14" ht="20.100000000000001" customHeight="1">
      <x:c r="A83" s="23" t="s">
        <x:v>35</x:v>
      </x:c>
      <x:c r="B83" s="24"/>
      <x:c r="C83" s="24"/>
      <x:c r="D83" s="25">
        <x:f>+D43-D82</x:f>
        <x:v>64701804</x:v>
      </x:c>
      <x:c r="E83" s="25">
        <x:f>+E43-E82</x:f>
        <x:v>2777211.1000000001</x:v>
      </x:c>
      <x:c r="F83" s="26">
        <x:f>+F43-F82</x:f>
        <x:v>67479015.099999994</x:v>
      </x:c>
      <x:c r="G83" s="27"/>
      <x:c r="H83" s="23" t="s">
        <x:v>35</x:v>
      </x:c>
      <x:c r="I83" s="24"/>
      <x:c r="J83" s="24"/>
      <x:c r="K83" s="25">
        <x:f>+K43-K82</x:f>
        <x:v>-25394504</x:v>
      </x:c>
      <x:c r="L83" s="25">
        <x:f>+L43-L82</x:f>
        <x:v>-1093487</x:v>
      </x:c>
      <x:c r="M83" s="26">
        <x:f>+M43-M82</x:f>
        <x:v>-26487991</x:v>
      </x:c>
      <x:c r="N83" s="27"/>
    </x:row>
    <x:row r="84" spans="1:14" ht="20.100000000000001" customHeight="1">
      <x:c r="A84" s="302" t="s">
        <x:v>415</x:v>
      </x:c>
      <x:c r="B84" s="303"/>
      <x:c r="C84" s="303"/>
      <x:c r="D84" s="303"/>
      <x:c r="E84" s="303"/>
      <x:c r="F84" s="304"/>
      <x:c r="G84" s="305"/>
      <x:c r="H84" s="302" t="s">
        <x:v>466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85" t="s">
        <x:v>144</x:v>
      </x:c>
      <x:c r="C85" s="185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85" t="s">
        <x:v>144</x:v>
      </x:c>
      <x:c r="J85" s="185" t="s">
        <x:v>150</x:v>
      </x:c>
      <x:c r="K85" s="31" t="s">
        <x:v>145</x:v>
      </x:c>
      <x:c r="L85" s="31" t="s">
        <x:v>152</x:v>
      </x:c>
      <x:c r="M85" s="32" t="s">
        <x:v>146</x:v>
      </x:c>
      <x:c r="N85" s="33" t="s">
        <x:v>154</x:v>
      </x:c>
    </x:row>
    <x:row r="86" spans="1:14" ht="20.100000000000001" customHeight="1">
      <x:c r="A86" s="41" t="s">
        <x:v>151</x:v>
      </x:c>
      <x:c r="B86" s="38" t="s">
        <x:v>1679</x:v>
      </x:c>
      <x:c r="C86" s="38" t="s">
        <x:v>791</x:v>
      </x:c>
      <x:c r="D86" s="39"/>
      <x:c r="E86" s="39">
        <x:f>+D86*0.1</x:f>
        <x:v>0</x:v>
      </x:c>
      <x:c r="F86" s="40">
        <x:f>+D86+E86</x:f>
        <x:v>0</x:v>
      </x:c>
      <x:c r="G86" s="42"/>
      <x:c r="H86" s="184" t="s">
        <x:v>151</x:v>
      </x:c>
      <x:c r="I86" s="38" t="s">
        <x:v>1679</x:v>
      </x:c>
      <x:c r="J86" s="38" t="s">
        <x:v>791</x:v>
      </x:c>
      <x:c r="K86" s="39"/>
      <x:c r="L86" s="39">
        <x:f>+K86*0.1</x:f>
        <x:v>0</x:v>
      </x:c>
      <x:c r="M86" s="40">
        <x:f t="shared" ref="M86:M94" si="14">+K86+L86</x:f>
        <x:v>0</x:v>
      </x:c>
      <x:c r="N86" s="18"/>
    </x:row>
    <x:row r="87" spans="1:14" ht="20.100000000000001" customHeight="1">
      <x:c r="A87" s="298" t="s">
        <x:v>148</x:v>
      </x:c>
      <x:c r="B87" s="19" t="s">
        <x:v>867</x:v>
      </x:c>
      <x:c r="C87" s="19" t="s">
        <x:v>369</x:v>
      </x:c>
      <x:c r="D87" s="20">
        <x:v>3535500</x:v>
      </x:c>
      <x:c r="E87" s="20">
        <x:f>+D87*0.1</x:f>
        <x:v>353550</x:v>
      </x:c>
      <x:c r="F87" s="21">
        <x:f t="shared" ref="F87:F93" si="15">+D87+E87</x:f>
        <x:v>3889050</x:v>
      </x:c>
      <x:c r="G87" s="22"/>
      <x:c r="H87" s="298" t="s">
        <x:v>148</x:v>
      </x:c>
      <x:c r="I87" s="54" t="s">
        <x:v>867</x:v>
      </x:c>
      <x:c r="J87" s="54" t="s">
        <x:v>369</x:v>
      </x:c>
      <x:c r="K87" s="93">
        <x:v>1141736</x:v>
      </x:c>
      <x:c r="L87" s="93">
        <x:f>+K87*0.1-1</x:f>
        <x:v>114172.60000000001</x:v>
      </x:c>
      <x:c r="M87" s="94">
        <x:f t="shared" si="14"/>
        <x:v>1255908.6000000001</x:v>
      </x:c>
      <x:c r="N87" s="95"/>
    </x:row>
    <x:row r="88" spans="1:14" ht="20.100000000000001" customHeight="1">
      <x:c r="A88" s="299"/>
      <x:c r="B88" s="3" t="s">
        <x:v>976</x:v>
      </x:c>
      <x:c r="C88" s="3"/>
      <x:c r="D88" s="4"/>
      <x:c r="E88" s="4">
        <x:f>D88*0.1</x:f>
        <x:v>0</x:v>
      </x:c>
      <x:c r="F88" s="5">
        <x:f t="shared" si="15"/>
        <x:v>0</x:v>
      </x:c>
      <x:c r="G88" s="6"/>
      <x:c r="H88" s="299"/>
      <x:c r="I88" s="162" t="s">
        <x:v>840</x:v>
      </x:c>
      <x:c r="J88" s="162"/>
      <x:c r="K88" s="163"/>
      <x:c r="L88" s="163">
        <x:f>+K88*0.1</x:f>
        <x:v>0</x:v>
      </x:c>
      <x:c r="M88" s="164">
        <x:f t="shared" si="14"/>
        <x:v>0</x:v>
      </x:c>
      <x:c r="N88" s="158"/>
    </x:row>
    <x:row r="89" spans="1:14" ht="20.100000000000001" customHeight="1">
      <x:c r="A89" s="299"/>
      <x:c r="B89" s="3" t="s">
        <x:v>1348</x:v>
      </x:c>
      <x:c r="C89" s="3" t="s">
        <x:v>1183</x:v>
      </x:c>
      <x:c r="D89" s="4">
        <x:v>48150</x:v>
      </x:c>
      <x:c r="E89" s="4">
        <x:f t="shared" ref="E89:E96" si="16">+D89*0.1</x:f>
        <x:v>4815</x:v>
      </x:c>
      <x:c r="F89" s="5">
        <x:f t="shared" si="15"/>
        <x:v>52965</x:v>
      </x:c>
      <x:c r="G89" s="6"/>
      <x:c r="H89" s="299"/>
      <x:c r="I89" s="3" t="s">
        <x:v>846</x:v>
      </x:c>
      <x:c r="J89" s="3" t="s">
        <x:v>1104</x:v>
      </x:c>
      <x:c r="K89" s="4">
        <x:v>363291</x:v>
      </x:c>
      <x:c r="L89" s="4">
        <x:f>+K89*0.1-2</x:f>
        <x:v>36327.099999999999</x:v>
      </x:c>
      <x:c r="M89" s="5">
        <x:f t="shared" si="14"/>
        <x:v>399618.09999999998</x:v>
      </x:c>
      <x:c r="N89" s="6"/>
    </x:row>
    <x:row r="90" spans="1:14" ht="20.100000000000001" customHeight="1">
      <x:c r="A90" s="299"/>
      <x:c r="B90" s="3" t="s">
        <x:v>938</x:v>
      </x:c>
      <x:c r="C90" s="3" t="s">
        <x:v>1336</x:v>
      </x:c>
      <x:c r="D90" s="4">
        <x:v>250000</x:v>
      </x:c>
      <x:c r="E90" s="4">
        <x:f t="shared" si="16"/>
        <x:v>25000</x:v>
      </x:c>
      <x:c r="F90" s="5">
        <x:f t="shared" si="15"/>
        <x:v>275000</x:v>
      </x:c>
      <x:c r="G90" s="6"/>
      <x:c r="H90" s="299"/>
      <x:c r="I90" s="3" t="s">
        <x:v>938</x:v>
      </x:c>
      <x:c r="J90" s="3"/>
      <x:c r="K90" s="4"/>
      <x:c r="L90" s="4">
        <x:f>+K90*0.1</x:f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 t="s">
        <x:v>838</x:v>
      </x:c>
      <x:c r="C91" s="3" t="s">
        <x:v>1116</x:v>
      </x:c>
      <x:c r="D91" s="4">
        <x:v>1584700</x:v>
      </x:c>
      <x:c r="E91" s="4">
        <x:f t="shared" si="16"/>
        <x:v>158470</x:v>
      </x:c>
      <x:c r="F91" s="5">
        <x:f t="shared" si="15"/>
        <x:v>1743170</x:v>
      </x:c>
      <x:c r="G91" s="6"/>
      <x:c r="H91" s="299"/>
      <x:c r="I91" s="3" t="s">
        <x:v>976</x:v>
      </x:c>
      <x:c r="J91" s="3" t="s">
        <x:v>1260</x:v>
      </x:c>
      <x:c r="K91" s="4">
        <x:v>879700</x:v>
      </x:c>
      <x:c r="L91" s="4">
        <x:f>+INT(K91*0.1)</x:f>
        <x:v>87970</x:v>
      </x:c>
      <x:c r="M91" s="5">
        <x:f t="shared" si="14"/>
        <x:v>967670</x:v>
      </x:c>
      <x:c r="N91" s="6"/>
    </x:row>
    <x:row r="92" spans="1:14" ht="20.100000000000001" customHeight="1">
      <x:c r="A92" s="299"/>
      <x:c r="B92" s="3" t="s">
        <x:v>846</x:v>
      </x:c>
      <x:c r="C92" s="3" t="s">
        <x:v>1324</x:v>
      </x:c>
      <x:c r="D92" s="4">
        <x:v>253200</x:v>
      </x:c>
      <x:c r="E92" s="4">
        <x:f t="shared" si="16"/>
        <x:v>25320</x:v>
      </x:c>
      <x:c r="F92" s="5">
        <x:f t="shared" si="15"/>
        <x:v>278520</x:v>
      </x:c>
      <x:c r="G92" s="6"/>
      <x:c r="H92" s="299"/>
      <x:c r="I92" s="3" t="s">
        <x:v>424</x:v>
      </x:c>
      <x:c r="J92" s="3" t="s">
        <x:v>464</x:v>
      </x:c>
      <x:c r="K92" s="4">
        <x:v>137000</x:v>
      </x:c>
      <x:c r="L92" s="4">
        <x:f>+INT(K92*0.1)</x:f>
        <x:v>13700</x:v>
      </x:c>
      <x:c r="M92" s="5">
        <x:f>+K92+L92</x:f>
        <x:v>150700</x:v>
      </x:c>
      <x:c r="N92" s="6" t="s">
        <x:v>1339</x:v>
      </x:c>
    </x:row>
    <x:row r="93" spans="1:14" ht="20.100000000000001" customHeight="1">
      <x:c r="A93" s="299"/>
      <x:c r="B93" s="3" t="s">
        <x:v>1319</x:v>
      </x:c>
      <x:c r="C93" s="3" t="s">
        <x:v>1295</x:v>
      </x:c>
      <x:c r="D93" s="4"/>
      <x:c r="E93" s="4">
        <x:f t="shared" si="16"/>
        <x:v>0</x:v>
      </x:c>
      <x:c r="F93" s="5">
        <x:f t="shared" si="15"/>
        <x:v>0</x:v>
      </x:c>
      <x:c r="G93" s="6"/>
      <x:c r="H93" s="299"/>
      <x:c r="I93" s="3" t="s">
        <x:v>806</x:v>
      </x:c>
      <x:c r="J93" s="3" t="s">
        <x:v>1282</x:v>
      </x:c>
      <x:c r="K93" s="4">
        <x:v>1300000</x:v>
      </x:c>
      <x:c r="L93" s="4">
        <x:f>+INT(K93*0.1)</x:f>
        <x:v>130000</x:v>
      </x:c>
      <x:c r="M93" s="5">
        <x:f t="shared" si="14"/>
        <x:v>1430000</x:v>
      </x:c>
      <x:c r="N93" s="6"/>
    </x:row>
    <x:row r="94" spans="1:14" ht="20.100000000000001" customHeight="1">
      <x:c r="A94" s="299"/>
      <x:c r="B94" s="3" t="s">
        <x:v>1338</x:v>
      </x:c>
      <x:c r="C94" s="3" t="s">
        <x:v>1112</x:v>
      </x:c>
      <x:c r="D94" s="4">
        <x:v>620000</x:v>
      </x:c>
      <x:c r="E94" s="4">
        <x:f t="shared" si="16"/>
        <x:v>62000</x:v>
      </x:c>
      <x:c r="F94" s="5">
        <x:f>+D94+E94</x:f>
        <x:v>682000</x:v>
      </x:c>
      <x:c r="G94" s="6" t="s">
        <x:v>1325</x:v>
      </x:c>
      <x:c r="H94" s="299"/>
      <x:c r="I94" s="3"/>
      <x:c r="J94" s="3"/>
      <x:c r="K94" s="4"/>
      <x:c r="L94" s="4">
        <x:f>+INT(K94*0.1)</x:f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 t="s">
        <x:v>1328</x:v>
      </x:c>
      <x:c r="C95" s="3" t="s">
        <x:v>1347</x:v>
      </x:c>
      <x:c r="D95" s="4">
        <x:v>5000000</x:v>
      </x:c>
      <x:c r="E95" s="4">
        <x:f t="shared" si="16"/>
        <x:v>500000</x:v>
      </x:c>
      <x:c r="F95" s="5">
        <x:f>+D95+E95</x:f>
        <x:v>5500000</x:v>
      </x:c>
      <x:c r="G95" s="6" t="s">
        <x:v>1325</x:v>
      </x:c>
      <x:c r="H95" s="299"/>
      <x:c r="I95" s="3"/>
      <x:c r="J95" s="3"/>
      <x:c r="K95" s="4"/>
      <x:c r="L95" s="4"/>
      <x:c r="M95" s="5"/>
      <x:c r="N95" s="6"/>
    </x:row>
    <x:row r="96" spans="1:14" ht="20.100000000000001" customHeight="1">
      <x:c r="A96" s="299"/>
      <x:c r="B96" s="3" t="s">
        <x:v>1332</x:v>
      </x:c>
      <x:c r="C96" s="3" t="s">
        <x:v>280</x:v>
      </x:c>
      <x:c r="D96" s="4">
        <x:v>116000</x:v>
      </x:c>
      <x:c r="E96" s="4">
        <x:f t="shared" si="16"/>
        <x:v>11600</x:v>
      </x:c>
      <x:c r="F96" s="5">
        <x:f>+D96+E96</x:f>
        <x:v>127600</x:v>
      </x:c>
      <x:c r="G96" s="6"/>
      <x:c r="H96" s="299"/>
      <x:c r="I96" s="3"/>
      <x:c r="J96" s="3"/>
      <x:c r="K96" s="4"/>
      <x:c r="L96" s="4">
        <x:f t="shared" ref="L96:L101" si="17">+INT(K96*0.1)</x:f>
        <x:v>0</x:v>
      </x:c>
      <x:c r="M96" s="5">
        <x:f t="shared" ref="M96:M101" si="18">+K96+L96</x:f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/>
      <x:c r="F97" s="5"/>
      <x:c r="G97" s="6"/>
      <x:c r="H97" s="299"/>
      <x:c r="I97" s="3"/>
      <x:c r="J97" s="3"/>
      <x:c r="K97" s="4"/>
      <x:c r="L97" s="4">
        <x:f t="shared" si="17"/>
        <x:v>0</x:v>
      </x:c>
      <x:c r="M97" s="5">
        <x:f t="shared" si="18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>+D98*0.1</x:f>
        <x:v>0</x:v>
      </x:c>
      <x:c r="F98" s="5">
        <x:f>+D98+E98</x:f>
        <x:v>0</x:v>
      </x:c>
      <x:c r="G98" s="6"/>
      <x:c r="H98" s="299"/>
      <x:c r="I98" s="3"/>
      <x:c r="J98" s="3"/>
      <x:c r="K98" s="4"/>
      <x:c r="L98" s="4">
        <x:f t="shared" si="17"/>
        <x:v>0</x:v>
      </x:c>
      <x:c r="M98" s="5">
        <x:f t="shared" si="18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>+D99*0.1</x:f>
        <x:v>0</x:v>
      </x:c>
      <x:c r="F99" s="5">
        <x:f>+D99+E99</x:f>
        <x:v>0</x:v>
      </x:c>
      <x:c r="G99" s="6"/>
      <x:c r="H99" s="299"/>
      <x:c r="I99" s="3"/>
      <x:c r="J99" s="3"/>
      <x:c r="K99" s="4"/>
      <x:c r="L99" s="4">
        <x:f t="shared" si="17"/>
        <x:v>0</x:v>
      </x:c>
      <x:c r="M99" s="5">
        <x:f t="shared" si="18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 t="shared" si="17"/>
        <x:v>0</x:v>
      </x:c>
      <x:c r="M100" s="5">
        <x:f t="shared" si="18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299"/>
      <x:c r="I101" s="3"/>
      <x:c r="J101" s="3"/>
      <x:c r="K101" s="4"/>
      <x:c r="L101" s="4">
        <x:f t="shared" si="17"/>
        <x:v>0</x:v>
      </x:c>
      <x:c r="M101" s="5">
        <x:f t="shared" si="18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300"/>
      <x:c r="I102" s="3"/>
      <x:c r="J102" s="3"/>
      <x:c r="K102" s="4"/>
      <x:c r="L102" s="4"/>
      <x:c r="M102" s="5"/>
      <x:c r="N102" s="6"/>
    </x:row>
    <x:row r="103" spans="1:14" ht="20.100000000000001" customHeight="1">
      <x:c r="A103" s="7"/>
      <x:c r="B103" s="8"/>
      <x:c r="C103" s="8"/>
      <x:c r="D103" s="9">
        <x:f>SUM(D87:D102)</x:f>
        <x:v>11407550</x:v>
      </x:c>
      <x:c r="E103" s="9">
        <x:f>SUM(E87:E102)</x:f>
        <x:v>1140755</x:v>
      </x:c>
      <x:c r="F103" s="10">
        <x:f>SUM(F87:F102)</x:f>
        <x:v>12548305</x:v>
      </x:c>
      <x:c r="G103" s="11"/>
      <x:c r="H103" s="7" t="s">
        <x:v>155</x:v>
      </x:c>
      <x:c r="I103" s="8"/>
      <x:c r="J103" s="8"/>
      <x:c r="K103" s="9">
        <x:f>SUM(K87:K102)</x:f>
        <x:v>3821727</x:v>
      </x:c>
      <x:c r="L103" s="9">
        <x:f>SUM(L87:L102)</x:f>
        <x:v>382169.70000000001</x:v>
      </x:c>
      <x:c r="M103" s="10">
        <x:f>SUM(M87:M102)</x:f>
        <x:v>4203896.7000000002</x:v>
      </x:c>
      <x:c r="N103" s="11"/>
    </x:row>
    <x:row r="104" spans="1:14" ht="20.100000000000001" customHeight="1">
      <x:c r="A104" s="301" t="s">
        <x:v>153</x:v>
      </x:c>
      <x:c r="B104" s="3" t="s">
        <x:v>1677</x:v>
      </x:c>
      <x:c r="C104" s="3" t="s">
        <x:v>1096</x:v>
      </x:c>
      <x:c r="D104" s="4">
        <x:v>9310000</x:v>
      </x:c>
      <x:c r="E104" s="4"/>
      <x:c r="F104" s="5">
        <x:f>+D104+E104</x:f>
        <x:v>9310000</x:v>
      </x:c>
      <x:c r="G104" s="6"/>
      <x:c r="H104" s="301" t="s">
        <x:v>153</x:v>
      </x:c>
      <x:c r="I104" s="3" t="s">
        <x:v>1677</x:v>
      </x:c>
      <x:c r="J104" s="3" t="s">
        <x:v>1096</x:v>
      </x:c>
      <x:c r="K104" s="4"/>
      <x:c r="L104" s="44"/>
      <x:c r="M104" s="45">
        <x:f>+K104+L104</x:f>
        <x:v>0</x:v>
      </x:c>
      <x:c r="N104" s="37"/>
    </x:row>
    <x:row r="105" spans="1:14" ht="20.100000000000001" customHeight="1">
      <x:c r="A105" s="299"/>
      <x:c r="B105" s="3"/>
      <x:c r="C105" s="3"/>
      <x:c r="D105" s="4"/>
      <x:c r="E105" s="4"/>
      <x:c r="F105" s="5">
        <x:f>+D105+E105</x:f>
        <x:v>0</x:v>
      </x:c>
      <x:c r="G105" s="6"/>
      <x:c r="H105" s="299"/>
      <x:c r="I105" s="3"/>
      <x:c r="J105" s="3"/>
      <x:c r="K105" s="44"/>
      <x:c r="L105" s="44">
        <x:f>+K105*0.1</x:f>
        <x:v>0</x:v>
      </x:c>
      <x:c r="M105" s="45">
        <x:f>+K105+L105</x:f>
        <x:v>0</x:v>
      </x:c>
      <x:c r="N105" s="37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300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0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7"/>
      <x:c r="B108" s="8"/>
      <x:c r="C108" s="8"/>
      <x:c r="D108" s="9">
        <x:f>SUM(D104:D107)</x:f>
        <x:v>9310000</x:v>
      </x:c>
      <x:c r="E108" s="9">
        <x:f>SUM(E104:E107)</x:f>
        <x:v>0</x:v>
      </x:c>
      <x:c r="F108" s="10">
        <x:f>SUM(F104:F107)</x:f>
        <x:v>9310000</x:v>
      </x:c>
      <x:c r="G108" s="11"/>
      <x:c r="H108" s="7" t="s">
        <x:v>155</x:v>
      </x:c>
      <x:c r="I108" s="8"/>
      <x:c r="J108" s="8"/>
      <x:c r="K108" s="9">
        <x:f>SUM(K104:K107)</x:f>
        <x:v>0</x:v>
      </x:c>
      <x:c r="L108" s="9">
        <x:f>SUM(L104:L107)</x:f>
        <x:v>0</x:v>
      </x:c>
      <x:c r="M108" s="10">
        <x:f>SUM(M104:M107)</x:f>
        <x:v>0</x:v>
      </x:c>
      <x:c r="N108" s="11"/>
    </x:row>
    <x:row r="109" spans="1:14" ht="20.100000000000001" customHeight="1">
      <x:c r="A109" s="301" t="s">
        <x:v>187</x:v>
      </x:c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301" t="s">
        <x:v>187</x:v>
      </x:c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299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299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300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300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7"/>
      <x:c r="B113" s="8"/>
      <x:c r="C113" s="8"/>
      <x:c r="D113" s="9">
        <x:f>SUM(D109:D112)</x:f>
        <x:v>0</x:v>
      </x:c>
      <x:c r="E113" s="9">
        <x:f>SUM(E109:E112)</x:f>
        <x:v>0</x:v>
      </x:c>
      <x:c r="F113" s="10">
        <x:f>SUM(F109:F112)</x:f>
        <x:v>0</x:v>
      </x:c>
      <x:c r="G113" s="11"/>
      <x:c r="H113" s="7" t="s">
        <x:v>155</x:v>
      </x:c>
      <x:c r="I113" s="8"/>
      <x:c r="J113" s="8"/>
      <x:c r="K113" s="9">
        <x:f>SUM(K109:K112)</x:f>
        <x:v>0</x:v>
      </x:c>
      <x:c r="L113" s="9">
        <x:f>SUM(L109:L112)</x:f>
        <x:v>0</x:v>
      </x:c>
      <x:c r="M113" s="10">
        <x:f>SUM(M109:M112)</x:f>
        <x:v>0</x:v>
      </x:c>
      <x:c r="N113" s="11"/>
    </x:row>
    <x:row r="114" spans="1:14" ht="20.100000000000001" customHeight="1">
      <x:c r="A114" s="301" t="s">
        <x:v>149</x:v>
      </x:c>
      <x:c r="B114" s="3" t="s">
        <x:v>177</x:v>
      </x:c>
      <x:c r="C114" s="3" t="s">
        <x:v>149</x:v>
      </x:c>
      <x:c r="D114" s="4">
        <x:v>811201</x:v>
      </x:c>
      <x:c r="E114" s="4"/>
      <x:c r="F114" s="5">
        <x:f t="shared" ref="F114:F119" si="19">+D114+E114</x:f>
        <x:v>811201</x:v>
      </x:c>
      <x:c r="G114" s="6"/>
      <x:c r="H114" s="301" t="s">
        <x:v>149</x:v>
      </x:c>
      <x:c r="I114" s="3" t="s">
        <x:v>177</x:v>
      </x:c>
      <x:c r="J114" s="3" t="s">
        <x:v>149</x:v>
      </x:c>
      <x:c r="K114" s="4"/>
      <x:c r="L114" s="4"/>
      <x:c r="M114" s="5">
        <x:f t="shared" ref="M114:M123" si="20">+K114+L114</x:f>
        <x:v>0</x:v>
      </x:c>
      <x:c r="N114" s="6"/>
    </x:row>
    <x:row r="115" spans="1:14" ht="20.100000000000001" customHeight="1">
      <x:c r="A115" s="299"/>
      <x:c r="B115" s="3" t="s">
        <x:v>601</x:v>
      </x:c>
      <x:c r="C115" s="3" t="s">
        <x:v>962</x:v>
      </x:c>
      <x:c r="D115" s="4">
        <x:v>294000</x:v>
      </x:c>
      <x:c r="E115" s="4">
        <x:f>+D115*0.1</x:f>
        <x:v>29400</x:v>
      </x:c>
      <x:c r="F115" s="5">
        <x:f t="shared" si="19"/>
        <x:v>323400</x:v>
      </x:c>
      <x:c r="G115" s="6"/>
      <x:c r="H115" s="299"/>
      <x:c r="I115" s="3" t="s">
        <x:v>1262</x:v>
      </x:c>
      <x:c r="J115" s="3" t="s">
        <x:v>429</x:v>
      </x:c>
      <x:c r="K115" s="4">
        <x:v>385600</x:v>
      </x:c>
      <x:c r="L115" s="4"/>
      <x:c r="M115" s="5">
        <x:f t="shared" si="20"/>
        <x:v>385600</x:v>
      </x:c>
      <x:c r="N115" s="6" t="s">
        <x:v>1069</x:v>
      </x:c>
    </x:row>
    <x:row r="116" spans="1:14" ht="20.100000000000001" customHeight="1">
      <x:c r="A116" s="299"/>
      <x:c r="B116" s="3" t="s">
        <x:v>926</x:v>
      </x:c>
      <x:c r="C116" s="3" t="s">
        <x:v>927</x:v>
      </x:c>
      <x:c r="D116" s="4">
        <x:v>367870</x:v>
      </x:c>
      <x:c r="E116" s="4"/>
      <x:c r="F116" s="5">
        <x:f t="shared" si="19"/>
        <x:v>367870</x:v>
      </x:c>
      <x:c r="G116" s="6"/>
      <x:c r="H116" s="299"/>
      <x:c r="I116" s="3" t="s">
        <x:v>471</x:v>
      </x:c>
      <x:c r="J116" s="3" t="s">
        <x:v>472</x:v>
      </x:c>
      <x:c r="K116" s="4">
        <x:v>45000</x:v>
      </x:c>
      <x:c r="L116" s="4"/>
      <x:c r="M116" s="5">
        <x:f t="shared" si="20"/>
        <x:v>45000</x:v>
      </x:c>
      <x:c r="N116" s="6" t="s">
        <x:v>1345</x:v>
      </x:c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50000</x:v>
      </x:c>
      <x:c r="E117" s="4">
        <x:f>+D117*0.1</x:f>
        <x:v>5000</x:v>
      </x:c>
      <x:c r="F117" s="5">
        <x:f t="shared" si="19"/>
        <x:v>55000</x:v>
      </x:c>
      <x:c r="G117" s="6"/>
      <x:c r="H117" s="299"/>
      <x:c r="I117" s="3" t="s">
        <x:v>1354</x:v>
      </x:c>
      <x:c r="J117" s="3" t="s">
        <x:v>425</x:v>
      </x:c>
      <x:c r="K117" s="4">
        <x:v>4139</x:v>
      </x:c>
      <x:c r="L117" s="4"/>
      <x:c r="M117" s="5">
        <x:f t="shared" si="20"/>
        <x:v>4139</x:v>
      </x:c>
      <x:c r="N117" s="6" t="s">
        <x:v>1345</x:v>
      </x:c>
    </x:row>
    <x:row r="118" spans="1:14" ht="20.100000000000001" customHeight="1">
      <x:c r="A118" s="299"/>
      <x:c r="B118" s="3" t="s">
        <x:v>1327</x:v>
      </x:c>
      <x:c r="C118" s="3" t="s">
        <x:v>167</x:v>
      </x:c>
      <x:c r="D118" s="4">
        <x:v>66000</x:v>
      </x:c>
      <x:c r="E118" s="4">
        <x:f>+D118*0.1</x:f>
        <x:v>6600</x:v>
      </x:c>
      <x:c r="F118" s="5">
        <x:f t="shared" si="19"/>
        <x:v>72600</x:v>
      </x:c>
      <x:c r="G118" s="6"/>
      <x:c r="H118" s="299"/>
      <x:c r="I118" s="3" t="s">
        <x:v>1341</x:v>
      </x:c>
      <x:c r="J118" s="3" t="s">
        <x:v>398</x:v>
      </x:c>
      <x:c r="K118" s="4">
        <x:v>30000</x:v>
      </x:c>
      <x:c r="L118" s="4">
        <x:f>+K118*0.1</x:f>
        <x:v>3000</x:v>
      </x:c>
      <x:c r="M118" s="5">
        <x:f t="shared" si="20"/>
        <x:v>33000</x:v>
      </x:c>
      <x:c r="N118" s="6" t="s">
        <x:v>1345</x:v>
      </x:c>
    </x:row>
    <x:row r="119" spans="1:14" ht="20.100000000000001" customHeight="1">
      <x:c r="A119" s="299"/>
      <x:c r="B119" s="3" t="s">
        <x:v>247</x:v>
      </x:c>
      <x:c r="C119" s="3" t="s">
        <x:v>231</x:v>
      </x:c>
      <x:c r="D119" s="4">
        <x:v>45000</x:v>
      </x:c>
      <x:c r="E119" s="4">
        <x:f>+D119*0.1</x:f>
        <x:v>4500</x:v>
      </x:c>
      <x:c r="F119" s="5">
        <x:f t="shared" si="19"/>
        <x:v>49500</x:v>
      </x:c>
      <x:c r="G119" s="6"/>
      <x:c r="H119" s="299"/>
      <x:c r="I119" s="3"/>
      <x:c r="J119" s="3"/>
      <x:c r="K119" s="4"/>
      <x:c r="L119" s="4">
        <x:f>+K119*0.1</x:f>
        <x:v>0</x:v>
      </x:c>
      <x:c r="M119" s="5">
        <x:f t="shared" si="20"/>
        <x:v>0</x:v>
      </x:c>
      <x:c r="N119" s="6"/>
    </x:row>
    <x:row r="120" spans="1:14" ht="20.100000000000001" customHeight="1">
      <x:c r="A120" s="299"/>
      <x:c r="B120" s="3"/>
      <x:c r="C120" s="3"/>
      <x:c r="D120" s="4"/>
      <x:c r="E120" s="4"/>
      <x:c r="F120" s="5"/>
      <x:c r="G120" s="6"/>
      <x:c r="H120" s="299"/>
      <x:c r="I120" s="3"/>
      <x:c r="J120" s="3"/>
      <x:c r="K120" s="4"/>
      <x:c r="L120" s="4"/>
      <x:c r="M120" s="5">
        <x:f t="shared" si="20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/>
      <x:c r="G121" s="6"/>
      <x:c r="H121" s="299"/>
      <x:c r="I121" s="3"/>
      <x:c r="J121" s="3"/>
      <x:c r="K121" s="4"/>
      <x:c r="L121" s="4">
        <x:f>+K121*0.1</x:f>
        <x:v>0</x:v>
      </x:c>
      <x:c r="M121" s="5">
        <x:f t="shared" si="20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/>
      <x:c r="G122" s="6"/>
      <x:c r="H122" s="299"/>
      <x:c r="I122" s="3"/>
      <x:c r="J122" s="3"/>
      <x:c r="K122" s="4"/>
      <x:c r="L122" s="4"/>
      <x:c r="M122" s="5">
        <x:f t="shared" si="20"/>
        <x:v>0</x:v>
      </x:c>
      <x:c r="N122" s="6"/>
    </x:row>
    <x:row r="123" spans="1:14" ht="20.100000000000001" customHeight="1">
      <x:c r="A123" s="300"/>
      <x:c r="B123" s="3"/>
      <x:c r="C123" s="3"/>
      <x:c r="D123" s="4"/>
      <x:c r="E123" s="4"/>
      <x:c r="F123" s="5"/>
      <x:c r="G123" s="6"/>
      <x:c r="H123" s="300"/>
      <x:c r="I123" s="3"/>
      <x:c r="J123" s="3"/>
      <x:c r="K123" s="4"/>
      <x:c r="L123" s="4"/>
      <x:c r="M123" s="5">
        <x:f t="shared" si="20"/>
        <x:v>0</x:v>
      </x:c>
      <x:c r="N123" s="6"/>
    </x:row>
    <x:row r="124" spans="1:14" ht="20.100000000000001" customHeight="1">
      <x:c r="A124" s="7"/>
      <x:c r="B124" s="8"/>
      <x:c r="C124" s="8"/>
      <x:c r="D124" s="9">
        <x:f>SUM(D114:D123)</x:f>
        <x:v>1634071</x:v>
      </x:c>
      <x:c r="E124" s="9">
        <x:f>SUM(E114:E123)</x:f>
        <x:v>45500</x:v>
      </x:c>
      <x:c r="F124" s="10">
        <x:f>SUM(F114:F123)</x:f>
        <x:v>1679571</x:v>
      </x:c>
      <x:c r="G124" s="11"/>
      <x:c r="H124" s="7" t="s">
        <x:v>155</x:v>
      </x:c>
      <x:c r="I124" s="8"/>
      <x:c r="J124" s="8"/>
      <x:c r="K124" s="9">
        <x:f>SUM(K114:K123)</x:f>
        <x:v>464739</x:v>
      </x:c>
      <x:c r="L124" s="9">
        <x:f>SUM(L114:L123)</x:f>
        <x:v>3000</x:v>
      </x:c>
      <x:c r="M124" s="10">
        <x:f>SUM(M114:M123)</x:f>
        <x:v>467739</x:v>
      </x:c>
      <x:c r="N124" s="11"/>
    </x:row>
    <x:row r="125" spans="1:14" ht="20.100000000000001" customHeight="1">
      <x:c r="A125" s="12"/>
      <x:c r="B125" s="13"/>
      <x:c r="C125" s="13"/>
      <x:c r="D125" s="14">
        <x:f>+D103+D108+D113+D124</x:f>
        <x:v>22351621</x:v>
      </x:c>
      <x:c r="E125" s="14">
        <x:f>+E103+E108+E113+E124</x:f>
        <x:v>1186255</x:v>
      </x:c>
      <x:c r="F125" s="15">
        <x:f>+F103+F108+F113+F124</x:f>
        <x:v>23537876</x:v>
      </x:c>
      <x:c r="G125" s="16"/>
      <x:c r="H125" s="12" t="s">
        <x:v>1690</x:v>
      </x:c>
      <x:c r="I125" s="13"/>
      <x:c r="J125" s="13"/>
      <x:c r="K125" s="14">
        <x:f>+K103+K108+K113+K124</x:f>
        <x:v>4286466</x:v>
      </x:c>
      <x:c r="L125" s="14">
        <x:f>+L103+L108+L113+L124</x:f>
        <x:v>385169.70000000001</x:v>
      </x:c>
      <x:c r="M125" s="15">
        <x:f>+M103+M108+M113+M124</x:f>
        <x:v>4671635.7000000002</x:v>
      </x:c>
      <x:c r="N125" s="16"/>
    </x:row>
    <x:row r="126" spans="1:14" ht="20.100000000000001" customHeight="1">
      <x:c r="A126" s="23"/>
      <x:c r="B126" s="24"/>
      <x:c r="C126" s="24"/>
      <x:c r="D126" s="25">
        <x:f>+D86-D125</x:f>
        <x:v>-22351621</x:v>
      </x:c>
      <x:c r="E126" s="25">
        <x:f>+E86-E125</x:f>
        <x:v>-1186255</x:v>
      </x:c>
      <x:c r="F126" s="26">
        <x:f>+F86-F125</x:f>
        <x:v>-23537876</x:v>
      </x:c>
      <x:c r="G126" s="27"/>
      <x:c r="H126" s="23" t="s">
        <x:v>35</x:v>
      </x:c>
      <x:c r="I126" s="24"/>
      <x:c r="J126" s="24"/>
      <x:c r="K126" s="25">
        <x:f>+K86-K125</x:f>
        <x:v>-4286466</x:v>
      </x:c>
      <x:c r="L126" s="25">
        <x:f>+L86-L125</x:f>
        <x:v>-385169.70000000001</x:v>
      </x:c>
      <x:c r="M126" s="26">
        <x:f>+M86-M125</x:f>
        <x:v>-4671635.7000000002</x:v>
      </x:c>
      <x:c r="N126" s="27"/>
    </x:row>
    <x:row r="127" spans="1:14" ht="20.100000000000001" customHeight="1">
      <x:c r="A127" s="302" t="s">
        <x:v>423</x:v>
      </x:c>
      <x:c r="B127" s="303"/>
      <x:c r="C127" s="303"/>
      <x:c r="D127" s="303"/>
      <x:c r="E127" s="303"/>
      <x:c r="F127" s="304"/>
      <x:c r="G127" s="305"/>
      <x:c r="H127" s="302"/>
      <x:c r="I127" s="303"/>
      <x:c r="J127" s="303"/>
      <x:c r="K127" s="303"/>
      <x:c r="L127" s="303"/>
      <x:c r="M127" s="304"/>
      <x:c r="N127" s="305"/>
    </x:row>
    <x:row r="128" spans="1:14" ht="20.100000000000001" customHeight="1">
      <x:c r="A128" s="29" t="s">
        <x:v>147</x:v>
      </x:c>
      <x:c r="B128" s="185" t="s">
        <x:v>144</x:v>
      </x:c>
      <x:c r="C128" s="185" t="s">
        <x:v>150</x:v>
      </x:c>
      <x:c r="D128" s="31" t="s">
        <x:v>145</x:v>
      </x:c>
      <x:c r="E128" s="31" t="s">
        <x:v>152</x:v>
      </x:c>
      <x:c r="F128" s="32" t="s">
        <x:v>146</x:v>
      </x:c>
      <x:c r="G128" s="33" t="s">
        <x:v>154</x:v>
      </x:c>
      <x:c r="H128" s="29" t="s">
        <x:v>147</x:v>
      </x:c>
      <x:c r="I128" s="185" t="s">
        <x:v>144</x:v>
      </x:c>
      <x:c r="J128" s="185" t="s">
        <x:v>150</x:v>
      </x:c>
      <x:c r="K128" s="31" t="s">
        <x:v>145</x:v>
      </x:c>
      <x:c r="L128" s="31" t="s">
        <x:v>152</x:v>
      </x:c>
      <x:c r="M128" s="31" t="s">
        <x:v>146</x:v>
      </x:c>
      <x:c r="N128" s="34" t="s">
        <x:v>154</x:v>
      </x:c>
    </x:row>
    <x:row r="129" spans="1:14" ht="20.100000000000001" customHeight="1">
      <x:c r="A129" s="184" t="s">
        <x:v>151</x:v>
      </x:c>
      <x:c r="B129" s="38"/>
      <x:c r="C129" s="38"/>
      <x:c r="D129" s="39"/>
      <x:c r="E129" s="39"/>
      <x:c r="F129" s="40">
        <x:f t="shared" ref="F129:F144" si="21">+D129+E129</x:f>
        <x:v>0</x:v>
      </x:c>
      <x:c r="G129" s="18"/>
      <x:c r="H129" s="41" t="s">
        <x:v>151</x:v>
      </x:c>
      <x:c r="I129" s="38"/>
      <x:c r="J129" s="38"/>
      <x:c r="K129" s="39"/>
      <x:c r="L129" s="39"/>
      <x:c r="M129" s="40">
        <x:f>+K129+L129</x:f>
        <x:v>0</x:v>
      </x:c>
      <x:c r="N129" s="42"/>
    </x:row>
    <x:row r="130" spans="1:14" ht="20.100000000000001" customHeight="1">
      <x:c r="A130" s="298" t="s">
        <x:v>148</x:v>
      </x:c>
      <x:c r="B130" s="54"/>
      <x:c r="C130" s="54"/>
      <x:c r="D130" s="93"/>
      <x:c r="E130" s="93">
        <x:f>+D130*0.1</x:f>
        <x:v>0</x:v>
      </x:c>
      <x:c r="F130" s="94">
        <x:f t="shared" si="21"/>
        <x:v>0</x:v>
      </x:c>
      <x:c r="G130" s="95"/>
      <x:c r="H130" s="298" t="s">
        <x:v>148</x:v>
      </x:c>
      <x:c r="I130" s="19"/>
      <x:c r="J130" s="19"/>
      <x:c r="K130" s="20"/>
      <x:c r="L130" s="20">
        <x:f>+K130*0.1</x:f>
        <x:v>0</x:v>
      </x:c>
      <x:c r="M130" s="21">
        <x:f t="shared" ref="M130:M145" si="22">+K130+L130</x:f>
        <x:v>0</x:v>
      </x:c>
      <x:c r="N130" s="22"/>
    </x:row>
    <x:row r="131" spans="1:14" ht="20.100000000000001" customHeight="1">
      <x:c r="A131" s="299"/>
      <x:c r="B131" s="155"/>
      <x:c r="C131" s="155"/>
      <x:c r="D131" s="156"/>
      <x:c r="E131" s="4">
        <x:f>+D131*0.1</x:f>
        <x:v>0</x:v>
      </x:c>
      <x:c r="F131" s="5">
        <x:f t="shared" si="21"/>
        <x:v>0</x:v>
      </x:c>
      <x:c r="G131" s="158"/>
      <x:c r="H131" s="299"/>
      <x:c r="I131" s="3"/>
      <x:c r="J131" s="3"/>
      <x:c r="K131" s="4"/>
      <x:c r="L131" s="4">
        <x:f>K131*0.1</x:f>
        <x:v>0</x:v>
      </x:c>
      <x:c r="M131" s="5">
        <x:f t="shared" si="22"/>
        <x:v>0</x:v>
      </x:c>
      <x:c r="N131" s="6"/>
    </x:row>
    <x:row r="132" spans="1:14" ht="20.100000000000001" customHeight="1">
      <x:c r="A132" s="299"/>
      <x:c r="B132" s="3"/>
      <x:c r="C132" s="3"/>
      <x:c r="D132" s="4"/>
      <x:c r="E132" s="4">
        <x:f>+D132*0.1</x:f>
        <x:v>0</x:v>
      </x:c>
      <x:c r="F132" s="5">
        <x:f t="shared" si="21"/>
        <x:v>0</x:v>
      </x:c>
      <x:c r="G132" s="6"/>
      <x:c r="H132" s="299"/>
      <x:c r="I132" s="3"/>
      <x:c r="J132" s="3"/>
      <x:c r="K132" s="4"/>
      <x:c r="L132" s="4">
        <x:f>+K132*0.1</x:f>
        <x:v>0</x:v>
      </x:c>
      <x:c r="M132" s="5">
        <x:f t="shared" si="22"/>
        <x:v>0</x:v>
      </x:c>
      <x:c r="N132" s="6"/>
    </x:row>
    <x:row r="133" spans="1:14" ht="20.100000000000001" customHeight="1">
      <x:c r="A133" s="299"/>
      <x:c r="B133" s="3"/>
      <x:c r="C133" s="3"/>
      <x:c r="D133" s="4"/>
      <x:c r="E133" s="4">
        <x:f>+D133*0.1</x:f>
        <x:v>0</x:v>
      </x:c>
      <x:c r="F133" s="5">
        <x:f t="shared" si="21"/>
        <x:v>0</x:v>
      </x:c>
      <x:c r="G133" s="6"/>
      <x:c r="H133" s="299"/>
      <x:c r="I133" s="3"/>
      <x:c r="J133" s="3"/>
      <x:c r="K133" s="4"/>
      <x:c r="L133" s="4">
        <x:f>+K133*0.1</x:f>
        <x:v>0</x:v>
      </x:c>
      <x:c r="M133" s="5">
        <x:f t="shared" si="22"/>
        <x:v>0</x:v>
      </x:c>
      <x:c r="N133" s="6"/>
    </x:row>
    <x:row r="134" spans="1:14" ht="20.100000000000001" customHeight="1">
      <x:c r="A134" s="299"/>
      <x:c r="B134" s="3"/>
      <x:c r="C134" s="3"/>
      <x:c r="D134" s="4"/>
      <x:c r="E134" s="4">
        <x:f>+INT(D134*0.1)</x:f>
        <x:v>0</x:v>
      </x:c>
      <x:c r="F134" s="5">
        <x:f t="shared" si="21"/>
        <x:v>0</x:v>
      </x:c>
      <x:c r="G134" s="6"/>
      <x:c r="H134" s="299"/>
      <x:c r="I134" s="3"/>
      <x:c r="J134" s="3"/>
      <x:c r="K134" s="4"/>
      <x:c r="L134" s="4">
        <x:f>+K134*0.1</x:f>
        <x:v>0</x:v>
      </x:c>
      <x:c r="M134" s="5">
        <x:f t="shared" si="22"/>
        <x:v>0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ref="E135:E144" si="23">+INT(D135*0.1)</x:f>
        <x:v>0</x:v>
      </x:c>
      <x:c r="F135" s="5">
        <x:f t="shared" si="21"/>
        <x:v>0</x:v>
      </x:c>
      <x:c r="G135" s="6"/>
      <x:c r="H135" s="299"/>
      <x:c r="I135" s="3"/>
      <x:c r="J135" s="3"/>
      <x:c r="K135" s="4"/>
      <x:c r="L135" s="4">
        <x:f t="shared" ref="L135:L145" si="24">+K135*0.1</x:f>
        <x:v>0</x:v>
      </x:c>
      <x:c r="M135" s="5">
        <x:f t="shared" si="22"/>
        <x:v>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3"/>
        <x:v>0</x:v>
      </x:c>
      <x:c r="F136" s="5">
        <x:f t="shared" si="21"/>
        <x:v>0</x:v>
      </x:c>
      <x:c r="G136" s="6"/>
      <x:c r="H136" s="299"/>
      <x:c r="I136" s="3"/>
      <x:c r="J136" s="3"/>
      <x:c r="K136" s="4"/>
      <x:c r="L136" s="4">
        <x:f t="shared" si="24"/>
        <x:v>0</x:v>
      </x:c>
      <x:c r="M136" s="5">
        <x:f t="shared" si="22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3"/>
        <x:v>0</x:v>
      </x:c>
      <x:c r="F137" s="5">
        <x:f t="shared" si="21"/>
        <x:v>0</x:v>
      </x:c>
      <x:c r="G137" s="6"/>
      <x:c r="H137" s="299"/>
      <x:c r="I137" s="3"/>
      <x:c r="J137" s="3"/>
      <x:c r="K137" s="4"/>
      <x:c r="L137" s="4">
        <x:f t="shared" si="24"/>
        <x:v>0</x:v>
      </x:c>
      <x:c r="M137" s="5">
        <x:f t="shared" si="22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/>
      <x:c r="F138" s="5"/>
      <x:c r="G138" s="6"/>
      <x:c r="H138" s="299"/>
      <x:c r="I138" s="3"/>
      <x:c r="J138" s="3"/>
      <x:c r="K138" s="4"/>
      <x:c r="L138" s="4"/>
      <x:c r="M138" s="5"/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3"/>
        <x:v>0</x:v>
      </x:c>
      <x:c r="F139" s="5">
        <x:f t="shared" si="21"/>
        <x:v>0</x:v>
      </x:c>
      <x:c r="G139" s="6"/>
      <x:c r="H139" s="299"/>
      <x:c r="I139" s="3"/>
      <x:c r="J139" s="3"/>
      <x:c r="K139" s="4"/>
      <x:c r="L139" s="4">
        <x:f t="shared" si="24"/>
        <x:v>0</x:v>
      </x:c>
      <x:c r="M139" s="5">
        <x:f t="shared" si="22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3"/>
        <x:v>0</x:v>
      </x:c>
      <x:c r="F140" s="5">
        <x:f t="shared" si="21"/>
        <x:v>0</x:v>
      </x:c>
      <x:c r="G140" s="6"/>
      <x:c r="H140" s="299"/>
      <x:c r="I140" s="3"/>
      <x:c r="J140" s="3"/>
      <x:c r="K140" s="4"/>
      <x:c r="L140" s="4">
        <x:f t="shared" si="24"/>
        <x:v>0</x:v>
      </x:c>
      <x:c r="M140" s="5">
        <x:f t="shared" si="22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3"/>
        <x:v>0</x:v>
      </x:c>
      <x:c r="F141" s="5">
        <x:f t="shared" si="21"/>
        <x:v>0</x:v>
      </x:c>
      <x:c r="G141" s="6"/>
      <x:c r="H141" s="299"/>
      <x:c r="I141" s="3"/>
      <x:c r="J141" s="3"/>
      <x:c r="K141" s="4"/>
      <x:c r="L141" s="4">
        <x:f t="shared" si="24"/>
        <x:v>0</x:v>
      </x:c>
      <x:c r="M141" s="5">
        <x:f t="shared" si="22"/>
        <x:v>0</x:v>
      </x:c>
      <x:c r="N141" s="6"/>
    </x:row>
    <x:row r="142" spans="1:14" ht="20.100000000000001" customHeight="1">
      <x:c r="A142" s="299"/>
      <x:c r="B142" s="3"/>
      <x:c r="C142" s="3"/>
      <x:c r="D142" s="4"/>
      <x:c r="E142" s="4">
        <x:f t="shared" si="23"/>
        <x:v>0</x:v>
      </x:c>
      <x:c r="F142" s="5">
        <x:f t="shared" si="21"/>
        <x:v>0</x:v>
      </x:c>
      <x:c r="G142" s="6"/>
      <x:c r="H142" s="299"/>
      <x:c r="I142" s="3"/>
      <x:c r="J142" s="3"/>
      <x:c r="K142" s="4"/>
      <x:c r="L142" s="4">
        <x:f t="shared" si="24"/>
        <x:v>0</x:v>
      </x:c>
      <x:c r="M142" s="5">
        <x:f t="shared" si="22"/>
        <x:v>0</x:v>
      </x:c>
      <x:c r="N142" s="6"/>
    </x:row>
    <x:row r="143" spans="1:14" ht="20.100000000000001" customHeight="1">
      <x:c r="A143" s="299"/>
      <x:c r="B143" s="3"/>
      <x:c r="C143" s="3"/>
      <x:c r="D143" s="4"/>
      <x:c r="E143" s="4">
        <x:f t="shared" si="23"/>
        <x:v>0</x:v>
      </x:c>
      <x:c r="F143" s="5">
        <x:f t="shared" si="21"/>
        <x:v>0</x:v>
      </x:c>
      <x:c r="G143" s="6"/>
      <x:c r="H143" s="299"/>
      <x:c r="I143" s="3"/>
      <x:c r="J143" s="3"/>
      <x:c r="K143" s="4"/>
      <x:c r="L143" s="4">
        <x:f t="shared" si="24"/>
        <x:v>0</x:v>
      </x:c>
      <x:c r="M143" s="5">
        <x:f t="shared" si="22"/>
        <x:v>0</x:v>
      </x:c>
      <x:c r="N143" s="6"/>
    </x:row>
    <x:row r="144" spans="1:14" ht="20.100000000000001" customHeight="1">
      <x:c r="A144" s="299"/>
      <x:c r="B144" s="3"/>
      <x:c r="C144" s="3"/>
      <x:c r="D144" s="4"/>
      <x:c r="E144" s="4">
        <x:f t="shared" si="23"/>
        <x:v>0</x:v>
      </x:c>
      <x:c r="F144" s="5">
        <x:f t="shared" si="21"/>
        <x:v>0</x:v>
      </x:c>
      <x:c r="G144" s="6"/>
      <x:c r="H144" s="299"/>
      <x:c r="I144" s="3"/>
      <x:c r="J144" s="3"/>
      <x:c r="K144" s="4"/>
      <x:c r="L144" s="4">
        <x:f t="shared" si="24"/>
        <x:v>0</x:v>
      </x:c>
      <x:c r="M144" s="5">
        <x:f t="shared" si="22"/>
        <x:v>0</x:v>
      </x:c>
      <x:c r="N144" s="6"/>
    </x:row>
    <x:row r="145" spans="1:14" ht="20.100000000000001" customHeight="1">
      <x:c r="A145" s="300"/>
      <x:c r="B145" s="3"/>
      <x:c r="C145" s="3"/>
      <x:c r="D145" s="4"/>
      <x:c r="E145" s="4"/>
      <x:c r="F145" s="5"/>
      <x:c r="G145" s="6"/>
      <x:c r="H145" s="300"/>
      <x:c r="I145" s="3"/>
      <x:c r="J145" s="3"/>
      <x:c r="K145" s="4"/>
      <x:c r="L145" s="4">
        <x:f t="shared" si="24"/>
        <x:v>0</x:v>
      </x:c>
      <x:c r="M145" s="5">
        <x:f t="shared" si="22"/>
        <x:v>0</x:v>
      </x:c>
      <x:c r="N145" s="6"/>
    </x:row>
    <x:row r="146" spans="1:14" ht="20.100000000000001" customHeight="1">
      <x:c r="A146" s="7" t="s">
        <x:v>155</x:v>
      </x:c>
      <x:c r="B146" s="8"/>
      <x:c r="C146" s="8"/>
      <x:c r="D146" s="9">
        <x:f>SUM(D130:D145)</x:f>
        <x:v>0</x:v>
      </x:c>
      <x:c r="E146" s="9">
        <x:f>SUM(E130:E145)</x:f>
        <x:v>0</x:v>
      </x:c>
      <x:c r="F146" s="10">
        <x:f>SUM(F130:F145)</x:f>
        <x:v>0</x:v>
      </x:c>
      <x:c r="G146" s="11"/>
      <x:c r="H146" s="7"/>
      <x:c r="I146" s="8"/>
      <x:c r="J146" s="8"/>
      <x:c r="K146" s="9">
        <x:f>SUM(K130:K145)</x:f>
        <x:v>0</x:v>
      </x:c>
      <x:c r="L146" s="9">
        <x:f>SUM(L130:L145)</x:f>
        <x:v>0</x:v>
      </x:c>
      <x:c r="M146" s="10">
        <x:f>SUM(M130:M145)</x:f>
        <x:v>0</x:v>
      </x:c>
      <x:c r="N146" s="11"/>
    </x:row>
    <x:row r="147" spans="1:14" ht="20.100000000000001" customHeight="1">
      <x:c r="A147" s="301" t="s">
        <x:v>153</x:v>
      </x:c>
      <x:c r="B147" s="3"/>
      <x:c r="C147" s="3"/>
      <x:c r="D147" s="44"/>
      <x:c r="E147" s="44"/>
      <x:c r="F147" s="45">
        <x:f>+D147+E147</x:f>
        <x:v>0</x:v>
      </x:c>
      <x:c r="G147" s="37"/>
      <x:c r="H147" s="301" t="s">
        <x:v>153</x:v>
      </x:c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299"/>
      <x:c r="B148" s="3"/>
      <x:c r="C148" s="3"/>
      <x:c r="D148" s="44"/>
      <x:c r="E148" s="44">
        <x:f>+D148*0.1</x:f>
        <x:v>0</x:v>
      </x:c>
      <x:c r="F148" s="45">
        <x:f>+D148+E148</x:f>
        <x:v>0</x:v>
      </x:c>
      <x:c r="G148" s="37"/>
      <x:c r="H148" s="299"/>
      <x:c r="I148" s="3"/>
      <x:c r="J148" s="3"/>
      <x:c r="K148" s="4"/>
      <x:c r="L148" s="4">
        <x:f>+K148*0.1</x:f>
        <x:v>0</x:v>
      </x:c>
      <x:c r="M148" s="5">
        <x:f>+K148+L148</x:f>
        <x:v>0</x:v>
      </x:c>
      <x:c r="N148" s="6"/>
    </x:row>
    <x:row r="149" spans="1:14" ht="20.100000000000001" customHeight="1">
      <x:c r="A149" s="299"/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299"/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300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300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7" t="s">
        <x:v>155</x:v>
      </x:c>
      <x:c r="B151" s="8"/>
      <x:c r="C151" s="8"/>
      <x:c r="D151" s="9">
        <x:f>SUM(D147:D150)</x:f>
        <x:v>0</x:v>
      </x:c>
      <x:c r="E151" s="9">
        <x:f>SUM(E147:E150)</x:f>
        <x:v>0</x:v>
      </x:c>
      <x:c r="F151" s="10">
        <x:f>SUM(F147:F150)</x:f>
        <x:v>0</x:v>
      </x:c>
      <x:c r="G151" s="11"/>
      <x:c r="H151" s="7"/>
      <x:c r="I151" s="8"/>
      <x:c r="J151" s="8"/>
      <x:c r="K151" s="9">
        <x:f>SUM(K147:K150)</x:f>
        <x:v>0</x:v>
      </x:c>
      <x:c r="L151" s="9">
        <x:f>SUM(L147:L150)</x:f>
        <x:v>0</x:v>
      </x:c>
      <x:c r="M151" s="10">
        <x:f>SUM(M147:M150)</x:f>
        <x:v>0</x:v>
      </x:c>
      <x:c r="N151" s="11"/>
    </x:row>
    <x:row r="152" spans="1:14" ht="20.100000000000001" customHeight="1">
      <x:c r="A152" s="301" t="s">
        <x:v>187</x:v>
      </x:c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1" t="s">
        <x:v>187</x:v>
      </x:c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299"/>
      <x:c r="B153" s="3"/>
      <x:c r="C153" s="3"/>
      <x:c r="D153" s="4"/>
      <x:c r="E153" s="4">
        <x:f>+D153*0.1</x:f>
        <x:v>0</x:v>
      </x:c>
      <x:c r="F153" s="5">
        <x:f>+D153+E153</x:f>
        <x:v>0</x:v>
      </x:c>
      <x:c r="G153" s="6"/>
      <x:c r="H153" s="299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</x:row>
    <x:row r="154" spans="1:14" ht="20.100000000000001" customHeight="1">
      <x:c r="A154" s="299"/>
      <x:c r="B154" s="3"/>
      <x:c r="C154" s="3"/>
      <x:c r="D154" s="4"/>
      <x:c r="E154" s="4">
        <x:f>+D154*0.1</x:f>
        <x:v>0</x:v>
      </x:c>
      <x:c r="F154" s="5">
        <x:f>+D154+E154</x:f>
        <x:v>0</x:v>
      </x:c>
      <x:c r="G154" s="6"/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</x:row>
    <x:row r="155" spans="1:14" ht="20.100000000000001" customHeight="1">
      <x:c r="A155" s="300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300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</x:row>
    <x:row r="156" spans="1:14" ht="20.100000000000001" customHeight="1">
      <x:c r="A156" s="7" t="s">
        <x:v>155</x:v>
      </x:c>
      <x:c r="B156" s="8"/>
      <x:c r="C156" s="8"/>
      <x:c r="D156" s="9">
        <x:f>SUM(D152:D155)</x:f>
        <x:v>0</x:v>
      </x:c>
      <x:c r="E156" s="9">
        <x:f>SUM(E152:E155)</x:f>
        <x:v>0</x:v>
      </x:c>
      <x:c r="F156" s="10">
        <x:f>SUM(F152:F155)</x:f>
        <x:v>0</x:v>
      </x:c>
      <x:c r="G156" s="11"/>
      <x:c r="H156" s="7"/>
      <x:c r="I156" s="8"/>
      <x:c r="J156" s="8"/>
      <x:c r="K156" s="9">
        <x:f>SUM(K152:K155)</x:f>
        <x:v>0</x:v>
      </x:c>
      <x:c r="L156" s="9">
        <x:f>SUM(L152:L155)</x:f>
        <x:v>0</x:v>
      </x:c>
      <x:c r="M156" s="10">
        <x:f>SUM(M152:M155)</x:f>
        <x:v>0</x:v>
      </x:c>
      <x:c r="N156" s="11"/>
    </x:row>
    <x:row r="157" spans="1:14" ht="20.100000000000001" customHeight="1">
      <x:c r="A157" s="301" t="s">
        <x:v>149</x:v>
      </x:c>
      <x:c r="B157" s="3"/>
      <x:c r="C157" s="3"/>
      <x:c r="D157" s="4"/>
      <x:c r="E157" s="4">
        <x:f>+D157*0.1</x:f>
        <x:v>0</x:v>
      </x:c>
      <x:c r="F157" s="5">
        <x:f>+D157+E157</x:f>
        <x:v>0</x:v>
      </x:c>
      <x:c r="G157" s="6"/>
      <x:c r="H157" s="301" t="s">
        <x:v>149</x:v>
      </x:c>
      <x:c r="I157" s="3"/>
      <x:c r="J157" s="3"/>
      <x:c r="K157" s="4"/>
      <x:c r="L157" s="4"/>
      <x:c r="M157" s="5">
        <x:f t="shared" ref="M157:M164" si="25">+K157+L157</x:f>
        <x:v>0</x:v>
      </x:c>
      <x:c r="N157" s="6"/>
    </x:row>
    <x:row r="158" spans="1:14" ht="20.100000000000001" customHeight="1">
      <x:c r="A158" s="299"/>
      <x:c r="B158" s="3"/>
      <x:c r="C158" s="3"/>
      <x:c r="D158" s="4"/>
      <x:c r="E158" s="4"/>
      <x:c r="F158" s="5">
        <x:f>+D158+E158</x:f>
        <x:v>0</x:v>
      </x:c>
      <x:c r="G158" s="6"/>
      <x:c r="H158" s="299"/>
      <x:c r="I158" s="3"/>
      <x:c r="J158" s="3"/>
      <x:c r="K158" s="4"/>
      <x:c r="L158" s="4">
        <x:f>+K158*0.1</x:f>
        <x:v>0</x:v>
      </x:c>
      <x:c r="M158" s="5">
        <x:f t="shared" si="25"/>
        <x:v>0</x:v>
      </x:c>
      <x:c r="N158" s="6"/>
    </x:row>
    <x:row r="159" spans="1:14" ht="20.100000000000001" customHeight="1">
      <x:c r="A159" s="299"/>
      <x:c r="B159" s="3"/>
      <x:c r="C159" s="3"/>
      <x:c r="D159" s="4"/>
      <x:c r="E159" s="4">
        <x:f>+D159*0.1</x:f>
        <x:v>0</x:v>
      </x:c>
      <x:c r="F159" s="5">
        <x:f>+D159+E159</x:f>
        <x:v>0</x:v>
      </x:c>
      <x:c r="G159" s="6"/>
      <x:c r="H159" s="299"/>
      <x:c r="I159" s="3"/>
      <x:c r="J159" s="3"/>
      <x:c r="K159" s="4"/>
      <x:c r="L159" s="4">
        <x:f>+K159*0.1</x:f>
        <x:v>0</x:v>
      </x:c>
      <x:c r="M159" s="5">
        <x:f t="shared" si="25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 t="shared" ref="F160:F166" si="26"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 t="shared" si="25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6"/>
        <x:v>0</x:v>
      </x:c>
      <x:c r="G161" s="6"/>
      <x:c r="H161" s="299"/>
      <x:c r="I161" s="3"/>
      <x:c r="J161" s="3"/>
      <x:c r="K161" s="4"/>
      <x:c r="L161" s="4">
        <x:f t="shared" ref="L161:L166" si="27">+K161*0.1</x:f>
        <x:v>0</x:v>
      </x:c>
      <x:c r="M161" s="5">
        <x:f t="shared" si="25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 t="shared" si="26"/>
        <x:v>0</x:v>
      </x:c>
      <x:c r="G162" s="6"/>
      <x:c r="H162" s="299"/>
      <x:c r="I162" s="3"/>
      <x:c r="J162" s="3"/>
      <x:c r="K162" s="4"/>
      <x:c r="L162" s="4">
        <x:f t="shared" si="27"/>
        <x:v>0</x:v>
      </x:c>
      <x:c r="M162" s="5">
        <x:f t="shared" si="25"/>
        <x:v>0</x:v>
      </x:c>
      <x:c r="N162" s="6"/>
    </x:row>
    <x:row r="163" spans="1:14" ht="20.100000000000001" customHeight="1">
      <x:c r="A163" s="299"/>
      <x:c r="B163" s="3"/>
      <x:c r="C163" s="3"/>
      <x:c r="D163" s="4"/>
      <x:c r="E163" s="4">
        <x:f>+D163*0.1</x:f>
        <x:v>0</x:v>
      </x:c>
      <x:c r="F163" s="5">
        <x:f t="shared" si="26"/>
        <x:v>0</x:v>
      </x:c>
      <x:c r="G163" s="6"/>
      <x:c r="H163" s="299"/>
      <x:c r="I163" s="3"/>
      <x:c r="J163" s="3"/>
      <x:c r="K163" s="4"/>
      <x:c r="L163" s="4">
        <x:f t="shared" si="27"/>
        <x:v>0</x:v>
      </x:c>
      <x:c r="M163" s="5">
        <x:f t="shared" si="25"/>
        <x:v>0</x:v>
      </x:c>
      <x:c r="N163" s="6"/>
    </x:row>
    <x:row r="164" spans="1:14" ht="20.100000000000001" customHeight="1">
      <x:c r="A164" s="299"/>
      <x:c r="B164" s="3"/>
      <x:c r="C164" s="3"/>
      <x:c r="D164" s="4"/>
      <x:c r="E164" s="4"/>
      <x:c r="F164" s="5">
        <x:f t="shared" si="26"/>
        <x:v>0</x:v>
      </x:c>
      <x:c r="G164" s="6"/>
      <x:c r="H164" s="299"/>
      <x:c r="I164" s="3"/>
      <x:c r="J164" s="3"/>
      <x:c r="K164" s="4"/>
      <x:c r="L164" s="4">
        <x:f t="shared" si="27"/>
        <x:v>0</x:v>
      </x:c>
      <x:c r="M164" s="5">
        <x:f t="shared" si="25"/>
        <x:v>0</x:v>
      </x:c>
      <x:c r="N164" s="6"/>
    </x:row>
    <x:row r="165" spans="1:14" ht="20.100000000000001" customHeight="1">
      <x:c r="A165" s="299"/>
      <x:c r="B165" s="3"/>
      <x:c r="C165" s="3"/>
      <x:c r="D165" s="4"/>
      <x:c r="E165" s="4"/>
      <x:c r="F165" s="5">
        <x:f t="shared" si="26"/>
        <x:v>0</x:v>
      </x:c>
      <x:c r="G165" s="6"/>
      <x:c r="H165" s="299"/>
      <x:c r="I165" s="3"/>
      <x:c r="J165" s="3"/>
      <x:c r="K165" s="4"/>
      <x:c r="L165" s="4">
        <x:f t="shared" si="27"/>
        <x:v>0</x:v>
      </x:c>
      <x:c r="M165" s="5"/>
      <x:c r="N165" s="6"/>
    </x:row>
    <x:row r="166" spans="1:14" ht="20.100000000000001" customHeight="1">
      <x:c r="A166" s="300"/>
      <x:c r="B166" s="3"/>
      <x:c r="C166" s="3"/>
      <x:c r="D166" s="4"/>
      <x:c r="E166" s="4"/>
      <x:c r="F166" s="5">
        <x:f t="shared" si="26"/>
        <x:v>0</x:v>
      </x:c>
      <x:c r="G166" s="6"/>
      <x:c r="H166" s="300"/>
      <x:c r="I166" s="3"/>
      <x:c r="J166" s="3"/>
      <x:c r="K166" s="4"/>
      <x:c r="L166" s="4">
        <x:f t="shared" si="27"/>
        <x:v>0</x:v>
      </x:c>
      <x:c r="M166" s="5">
        <x:f>+K166+L166</x:f>
        <x:v>0</x:v>
      </x:c>
      <x:c r="N166" s="6"/>
    </x:row>
    <x:row r="167" spans="1:14" ht="20.100000000000001" customHeight="1">
      <x:c r="A167" s="7" t="s">
        <x:v>155</x:v>
      </x:c>
      <x:c r="B167" s="8"/>
      <x:c r="C167" s="8"/>
      <x:c r="D167" s="9">
        <x:f>SUM(D157:D166)</x:f>
        <x:v>0</x:v>
      </x:c>
      <x:c r="E167" s="9">
        <x:f>SUM(E157:E166)</x:f>
        <x:v>0</x:v>
      </x:c>
      <x:c r="F167" s="10">
        <x:f>SUM(F157:F166)</x:f>
        <x:v>0</x:v>
      </x:c>
      <x:c r="G167" s="11"/>
      <x:c r="H167" s="7"/>
      <x:c r="I167" s="8"/>
      <x:c r="J167" s="8"/>
      <x:c r="K167" s="9">
        <x:f>SUM(K157:K166)</x:f>
        <x:v>0</x:v>
      </x:c>
      <x:c r="L167" s="9">
        <x:f>SUM(L157:L166)</x:f>
        <x:v>0</x:v>
      </x:c>
      <x:c r="M167" s="10">
        <x:f>SUM(M157:M166)</x:f>
        <x:v>0</x:v>
      </x:c>
      <x:c r="N167" s="11"/>
    </x:row>
    <x:row r="168" spans="1:14" ht="20.100000000000001" customHeight="1">
      <x:c r="A168" s="12" t="s">
        <x:v>1690</x:v>
      </x:c>
      <x:c r="B168" s="13"/>
      <x:c r="C168" s="13"/>
      <x:c r="D168" s="14">
        <x:f>+D146+D151+D156+D167</x:f>
        <x:v>0</x:v>
      </x:c>
      <x:c r="E168" s="14">
        <x:f>+E146+E151+E156+E167</x:f>
        <x:v>0</x:v>
      </x:c>
      <x:c r="F168" s="15">
        <x:f>+F146+F151+F156+F167</x:f>
        <x:v>0</x:v>
      </x:c>
      <x:c r="G168" s="16"/>
      <x:c r="H168" s="12"/>
      <x:c r="I168" s="13"/>
      <x:c r="J168" s="13"/>
      <x:c r="K168" s="14">
        <x:f>+K146+K151+K156+K167</x:f>
        <x:v>0</x:v>
      </x:c>
      <x:c r="L168" s="14">
        <x:f>+L146+L151+L156+L167</x:f>
        <x:v>0</x:v>
      </x:c>
      <x:c r="M168" s="15">
        <x:f>+M146+M151+M156+M167</x:f>
        <x:v>0</x:v>
      </x:c>
      <x:c r="N168" s="16"/>
    </x:row>
    <x:row r="169" spans="1:14" ht="20.100000000000001" customHeight="1">
      <x:c r="A169" s="23" t="s">
        <x:v>35</x:v>
      </x:c>
      <x:c r="B169" s="24"/>
      <x:c r="C169" s="24"/>
      <x:c r="D169" s="25">
        <x:f>+D129-D168</x:f>
        <x:v>0</x:v>
      </x:c>
      <x:c r="E169" s="25">
        <x:f>+E129-E168</x:f>
        <x:v>0</x:v>
      </x:c>
      <x:c r="F169" s="26">
        <x:f>+F129-F168</x:f>
        <x:v>0</x:v>
      </x:c>
      <x:c r="G169" s="27"/>
      <x:c r="H169" s="23"/>
      <x:c r="I169" s="24"/>
      <x:c r="J169" s="24"/>
      <x:c r="K169" s="25">
        <x:f>+K129-K168</x:f>
        <x:v>0</x:v>
      </x:c>
      <x:c r="L169" s="25">
        <x:f>+L129-L168</x:f>
        <x:v>0</x:v>
      </x:c>
      <x:c r="M169" s="26">
        <x:f>+M129-M168</x:f>
        <x:v>0</x:v>
      </x:c>
      <x:c r="N169" s="27"/>
    </x:row>
    <x:row r="172" spans="1:13">
      <x:c r="A172" s="1" t="s">
        <x:v>148</x:v>
      </x:c>
      <x:c r="D172" s="2">
        <x:f>+D17+D60+D103+D146</x:f>
        <x:v>25433770</x:v>
      </x:c>
      <x:c r="E172" s="2">
        <x:f>+E17+E60+E103+E146</x:f>
        <x:v>2543377</x:v>
      </x:c>
      <x:c r="F172" s="2">
        <x:f>+F17+F60+F103+F146</x:f>
        <x:v>27977147</x:v>
      </x:c>
      <x:c r="K172" s="2">
        <x:f>+K17+K60+K103+K146</x:f>
        <x:v>38150377</x:v>
      </x:c>
      <x:c r="L172" s="2">
        <x:f>+L17+L60+L103+L146</x:f>
        <x:v>3815034.7000000002</x:v>
      </x:c>
      <x:c r="M172" s="2">
        <x:f>+M17+M60+M103+M146</x:f>
        <x:v>41965411.700000003</x:v>
      </x:c>
    </x:row>
    <x:row r="173" spans="1:13">
      <x:c r="A173" s="1" t="s">
        <x:v>153</x:v>
      </x:c>
      <x:c r="D173" s="2">
        <x:f>+D22+D65+D108+D151</x:f>
        <x:v>110880000</x:v>
      </x:c>
      <x:c r="E173" s="2">
        <x:f>+E22+E65+E108+E151</x:f>
        <x:v>0</x:v>
      </x:c>
      <x:c r="F173" s="2">
        <x:f>+F22+F65+F108+F151</x:f>
        <x:v>110880000</x:v>
      </x:c>
      <x:c r="K173" s="2">
        <x:f>+K22+K65+K108+K151</x:f>
        <x:v>36490000</x:v>
      </x:c>
      <x:c r="L173" s="2">
        <x:f>+L22+L65+L108+L151</x:f>
        <x:v>0</x:v>
      </x:c>
      <x:c r="M173" s="2">
        <x:f>+M22+M65+M108+M151</x:f>
        <x:v>36490000</x:v>
      </x:c>
    </x:row>
    <x:row r="174" spans="1:13" s="2" customFormat="1">
      <x:c r="A174" s="1" t="s">
        <x:v>187</x:v>
      </x:c>
      <x:c r="B174" s="1"/>
      <x:c r="C174" s="1"/>
      <x:c r="D174" s="2">
        <x:f>+D27+D70+D113+D156</x:f>
        <x:v>80000</x:v>
      </x:c>
      <x:c r="E174" s="2">
        <x:f>+E27+E70+E113+E156</x:f>
        <x:v>8000</x:v>
      </x:c>
      <x:c r="F174" s="2">
        <x:f>+F27+F70+F113+F156</x:f>
        <x:v>88000</x:v>
      </x:c>
      <x:c r="H174" s="1"/>
      <x:c r="I174" s="1"/>
      <x:c r="J174" s="1"/>
      <x:c r="K174" s="2">
        <x:f>+K27+K70+K113+K156</x:f>
        <x:v>850000</x:v>
      </x:c>
      <x:c r="L174" s="2">
        <x:f>+L27+L70+L113+L156</x:f>
        <x:v>85000</x:v>
      </x:c>
      <x:c r="M174" s="2">
        <x:f>+M27+M70+M113+M156</x:f>
        <x:v>935000</x:v>
      </x:c>
    </x:row>
    <x:row r="175" spans="1:13" s="2" customFormat="1">
      <x:c r="A175" s="1" t="s">
        <x:v>149</x:v>
      </x:c>
      <x:c r="B175" s="1"/>
      <x:c r="C175" s="1"/>
      <x:c r="D175" s="2">
        <x:f>+D38+D81+D124+D167</x:f>
        <x:v>8891168</x:v>
      </x:c>
      <x:c r="E175" s="2">
        <x:f>+E38+E81+E124+E167</x:f>
        <x:v>510637.90000000002</x:v>
      </x:c>
      <x:c r="F175" s="2">
        <x:f>+F38+F81+F124+F167</x:f>
        <x:v>9401805.9000000004</x:v>
      </x:c>
      <x:c r="H175" s="1"/>
      <x:c r="I175" s="1"/>
      <x:c r="J175" s="1"/>
      <x:c r="K175" s="2">
        <x:f>+K38+K81+K124+K167</x:f>
        <x:v>10097403</x:v>
      </x:c>
      <x:c r="L175" s="2">
        <x:f>+L38+L81+L124+L167</x:f>
        <x:v>822386</x:v>
      </x:c>
      <x:c r="M175" s="2">
        <x:f>+M38+M81+M124+M167</x:f>
        <x:v>10919789</x:v>
      </x:c>
    </x:row>
    <x:row r="176" spans="1:13" s="2" customFormat="1">
      <x:c r="A176" s="1" t="s">
        <x:v>202</x:v>
      </x:c>
      <x:c r="B176" s="1"/>
      <x:c r="C176" s="1"/>
      <x:c r="D176" s="2">
        <x:f>SUM(D172:D175)</x:f>
        <x:v>145284938</x:v>
      </x:c>
      <x:c r="E176" s="2">
        <x:f>SUM(E172:E175)</x:f>
        <x:v>3062014.8999999999</x:v>
      </x:c>
      <x:c r="F176" s="2">
        <x:f>SUM(F172:F175)</x:f>
        <x:v>148346952.90000001</x:v>
      </x:c>
      <x:c r="H176" s="1"/>
      <x:c r="I176" s="1"/>
      <x:c r="J176" s="1"/>
      <x:c r="K176" s="2">
        <x:f>SUM(K172:K175)</x:f>
        <x:v>85587780</x:v>
      </x:c>
      <x:c r="L176" s="2">
        <x:f>SUM(L172:L175)</x:f>
        <x:v>4722420.7000000002</x:v>
      </x:c>
      <x:c r="M176" s="2">
        <x:f>SUM(M172:M175)</x:f>
        <x:v>90310200.700000003</x:v>
      </x:c>
    </x:row>
    <x:row r="179" spans="1:10" s="2" customFormat="1">
      <x:c r="A179" s="1" t="s">
        <x:v>148</x:v>
      </x:c>
      <x:c r="B179" s="1"/>
      <x:c r="C179" s="1"/>
      <x:c r="D179" s="2">
        <x:f>+D172+K172</x:f>
        <x:v>63584147</x:v>
      </x:c>
      <x:c r="E179" s="2">
        <x:f>+E172+L172</x:f>
        <x:v>6358411.7000000002</x:v>
      </x:c>
      <x:c r="F179" s="2">
        <x:f>+F172+M172</x:f>
        <x:v>69942558.700000003</x:v>
      </x:c>
      <x:c r="H179" s="1"/>
      <x:c r="I179" s="1"/>
      <x:c r="J179" s="1"/>
    </x:row>
    <x:row r="180" spans="1:10" s="2" customFormat="1">
      <x:c r="A180" s="1" t="s">
        <x:v>153</x:v>
      </x:c>
      <x:c r="B180" s="1"/>
      <x:c r="C180" s="1"/>
      <x:c r="D180" s="2">
        <x:f t="shared" ref="D180:F182" si="28">+D173+K173</x:f>
        <x:v>147370000</x:v>
      </x:c>
      <x:c r="E180" s="2">
        <x:f t="shared" si="28"/>
        <x:v>0</x:v>
      </x:c>
      <x:c r="F180" s="2">
        <x:f t="shared" si="28"/>
        <x:v>147370000</x:v>
      </x:c>
      <x:c r="H180" s="1"/>
      <x:c r="I180" s="1"/>
      <x:c r="J180" s="1"/>
    </x:row>
    <x:row r="181" spans="1:10" s="2" customFormat="1">
      <x:c r="A181" s="1" t="s">
        <x:v>187</x:v>
      </x:c>
      <x:c r="B181" s="1"/>
      <x:c r="C181" s="1"/>
      <x:c r="D181" s="2">
        <x:f t="shared" si="28"/>
        <x:v>930000</x:v>
      </x:c>
      <x:c r="E181" s="2">
        <x:f t="shared" si="28"/>
        <x:v>93000</x:v>
      </x:c>
      <x:c r="F181" s="2">
        <x:f t="shared" si="28"/>
        <x:v>1023000</x:v>
      </x:c>
      <x:c r="H181" s="1"/>
      <x:c r="I181" s="1"/>
      <x:c r="J181" s="1"/>
    </x:row>
    <x:row r="182" spans="1:10" s="2" customFormat="1">
      <x:c r="A182" s="1" t="s">
        <x:v>149</x:v>
      </x:c>
      <x:c r="B182" s="1"/>
      <x:c r="C182" s="1"/>
      <x:c r="D182" s="2">
        <x:f t="shared" si="28"/>
        <x:v>18988571</x:v>
      </x:c>
      <x:c r="E182" s="2">
        <x:f t="shared" si="28"/>
        <x:v>1333023.8999999999</x:v>
      </x:c>
      <x:c r="F182" s="2">
        <x:f t="shared" si="28"/>
        <x:v>20321594.899999999</x:v>
      </x:c>
      <x:c r="H182" s="1"/>
      <x:c r="I182" s="1"/>
      <x:c r="J182" s="1"/>
    </x:row>
    <x:row r="183" spans="1:10" s="2" customFormat="1">
      <x:c r="A183" s="1" t="s">
        <x:v>1019</x:v>
      </x:c>
      <x:c r="B183" s="1"/>
      <x:c r="C183" s="1"/>
      <x:c r="D183" s="2">
        <x:f>SUM(D179:D182)</x:f>
        <x:v>230872718</x:v>
      </x:c>
      <x:c r="E183" s="2">
        <x:f>SUM(E179:E182)</x:f>
        <x:v>7784435.5999999996</x:v>
      </x:c>
      <x:c r="F183" s="2">
        <x:f>SUM(F179:F182)</x:f>
        <x:v>238657153.59999999</x:v>
      </x:c>
      <x:c r="H183" s="1"/>
      <x:c r="I183" s="1"/>
      <x:c r="J183" s="1"/>
    </x:row>
    <x:row r="184" spans="1:10" s="2" customFormat="1">
      <x:c r="A184" s="1" t="s">
        <x:v>151</x:v>
      </x:c>
      <x:c r="B184" s="1"/>
      <x:c r="C184" s="1"/>
      <x:c r="D184" s="2">
        <x:f>D4+D43+D86+K4+K43+K86+D129+K129</x:f>
        <x:v>248298373</x:v>
      </x:c>
      <x:c r="E184" s="2">
        <x:f>E4+E43+E86+L4+L43+L86</x:f>
        <x:v>6706627</x:v>
      </x:c>
      <x:c r="F184" s="2">
        <x:f>F4+F43+F86+M4+M43+M86</x:f>
        <x:v>255005000</x:v>
      </x:c>
      <x:c r="H184" s="1"/>
      <x:c r="I184" s="1"/>
      <x:c r="J184" s="1"/>
    </x:row>
    <x:row r="185" spans="1:10" s="2" customFormat="1">
      <x:c r="A185" s="1" t="s">
        <x:v>632</x:v>
      </x:c>
      <x:c r="B185" s="1"/>
      <x:c r="C185" s="1"/>
      <x:c r="D185" s="2">
        <x:f>+D184-D183</x:f>
        <x:v>17425655</x:v>
      </x:c>
      <x:c r="E185" s="2">
        <x:f>+E184-E183</x:f>
        <x:v>-1077808.5999999996</x:v>
      </x:c>
      <x:c r="F185" s="2">
        <x:f>+F184-F183</x:f>
        <x:v>16347846.400000006</x:v>
      </x:c>
      <x:c r="H185" s="1"/>
      <x:c r="I185" s="1"/>
      <x:c r="J185" s="1"/>
    </x:row>
  </x:sheetData>
  <x:mergeCells count="42">
    <x:mergeCell ref="A147:A150"/>
    <x:mergeCell ref="H147:H150"/>
    <x:mergeCell ref="A152:A155"/>
    <x:mergeCell ref="H152:H155"/>
    <x:mergeCell ref="A157:A166"/>
    <x:mergeCell ref="H157:H166"/>
    <x:mergeCell ref="A114:A123"/>
    <x:mergeCell ref="H114:H123"/>
    <x:mergeCell ref="A127:G127"/>
    <x:mergeCell ref="H127:N127"/>
    <x:mergeCell ref="A130:A145"/>
    <x:mergeCell ref="H130:H145"/>
    <x:mergeCell ref="A87:A102"/>
    <x:mergeCell ref="H87:H102"/>
    <x:mergeCell ref="A104:A107"/>
    <x:mergeCell ref="H104:H107"/>
    <x:mergeCell ref="A109:A112"/>
    <x:mergeCell ref="H109:H112"/>
    <x:mergeCell ref="A66:A69"/>
    <x:mergeCell ref="H66:H69"/>
    <x:mergeCell ref="A71:A80"/>
    <x:mergeCell ref="H71:H80"/>
    <x:mergeCell ref="A84:G84"/>
    <x:mergeCell ref="H84:N84"/>
    <x:mergeCell ref="A41:G41"/>
    <x:mergeCell ref="H41:N41"/>
    <x:mergeCell ref="A44:A59"/>
    <x:mergeCell ref="H44:H59"/>
    <x:mergeCell ref="A61:A64"/>
    <x:mergeCell ref="H61:H64"/>
    <x:mergeCell ref="A18:A21"/>
    <x:mergeCell ref="H18:H21"/>
    <x:mergeCell ref="A23:A26"/>
    <x:mergeCell ref="H23:H26"/>
    <x:mergeCell ref="A28:A37"/>
    <x:mergeCell ref="H28:H37"/>
    <x:mergeCell ref="A1:N1"/>
    <x:mergeCell ref="O1:S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0" min="0" max="1048575" man="1" pt="0"/>
    <x:brk id="83" min="0" max="1048575" man="1" pt="0"/>
    <x:brk id="126" min="0" max="1048575" man="1" pt="0"/>
  </x:rowBreaks>
</x:worksheet>
</file>

<file path=xl/worksheets/sheet5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3"/>
  <x:dimension ref="A1:S115"/>
  <x:sheetViews>
    <x:sheetView view="pageBreakPreview" topLeftCell="A1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87"/>
      <x:c r="C2" s="187"/>
      <x:c r="D2" s="187"/>
      <x:c r="E2" s="187"/>
      <x:c r="F2" s="187"/>
      <x:c r="G2" s="187"/>
      <x:c r="H2" s="187"/>
      <x:c r="I2" s="187"/>
      <x:c r="J2" s="187"/>
      <x:c r="K2" s="187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89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'21년04월(세부내역)'!D4</x:f>
        <x:v>155047000</x:v>
      </x:c>
      <x:c r="F5" s="67">
        <x:f>'21년04월(세부내역)'!D17</x:f>
        <x:v>38649020</x:v>
      </x:c>
      <x:c r="G5" s="67">
        <x:f>'21년04월(세부내역)'!D22</x:f>
        <x:v>104054000</x:v>
      </x:c>
      <x:c r="H5" s="67">
        <x:f>'21년04월(세부내역)'!D27</x:f>
        <x:v>780000</x:v>
      </x:c>
      <x:c r="I5" s="67">
        <x:f>'21년04월(세부내역)'!D38</x:f>
        <x:v>3646769</x:v>
      </x:c>
      <x:c r="J5" s="75">
        <x:f t="shared" ref="J5:J12" si="0">+SUM(F5:I5)</x:f>
        <x:v>147129789</x:v>
      </x:c>
      <x:c r="K5" s="141">
        <x:f t="shared" ref="K5:K11" si="1">E5-J5</x:f>
        <x:v>7917211</x:v>
      </x:c>
      <x:c r="L5" s="119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'21년04월(세부내역)'!K4</x:f>
        <x:v>91000000</x:v>
      </x:c>
      <x:c r="F6" s="59">
        <x:f>+'21년04월(세부내역)'!K17</x:f>
        <x:v>35384100</x:v>
      </x:c>
      <x:c r="G6" s="59">
        <x:f>'21년04월(세부내역)'!K22</x:f>
        <x:v>22460000</x:v>
      </x:c>
      <x:c r="H6" s="59">
        <x:f>'21년04월(세부내역)'!K27</x:f>
        <x:v>840000</x:v>
      </x:c>
      <x:c r="I6" s="59">
        <x:f>'21년04월(세부내역)'!K38</x:f>
        <x:v>4377013</x:v>
      </x:c>
      <x:c r="J6" s="75">
        <x:f t="shared" si="0"/>
        <x:v>63061113</x:v>
      </x:c>
      <x:c r="K6" s="140">
        <x:f t="shared" si="1"/>
        <x:v>27938887</x:v>
      </x:c>
      <x:c r="L6" s="59"/>
    </x:row>
    <x:row r="7" spans="1:12" ht="30" customHeight="1">
      <x:c r="A7" s="63">
        <x:v>3</x:v>
      </x:c>
      <x:c r="B7" s="63" t="s">
        <x:v>1021</x:v>
      </x:c>
      <x:c r="C7" s="63" t="s">
        <x:v>1065</x:v>
      </x:c>
      <x:c r="D7" s="115" t="s">
        <x:v>113</x:v>
      </x:c>
      <x:c r="E7" s="74">
        <x:f>'21년04월(세부내역)'!D43</x:f>
        <x:v>0</x:v>
      </x:c>
      <x:c r="F7" s="59">
        <x:f>+'21년04월(세부내역)'!D60</x:f>
        <x:v>95880</x:v>
      </x:c>
      <x:c r="G7" s="59">
        <x:f>'21년04월(세부내역)'!D65</x:f>
        <x:v>9020000</x:v>
      </x:c>
      <x:c r="H7" s="59">
        <x:f>'21년04월(세부내역)'!D70</x:f>
        <x:v>0</x:v>
      </x:c>
      <x:c r="I7" s="59">
        <x:f>'21년04월(세부내역)'!D81</x:f>
        <x:v>1167856</x:v>
      </x:c>
      <x:c r="J7" s="75">
        <x:f t="shared" si="0"/>
        <x:v>10283736</x:v>
      </x:c>
      <x:c r="K7" s="141">
        <x:f t="shared" si="1"/>
        <x:v>-10283736</x:v>
      </x:c>
      <x:c r="L7" s="119" t="s">
        <x:v>1374</x:v>
      </x:c>
    </x:row>
    <x:row r="8" spans="1:12" ht="30" customHeight="1">
      <x:c r="A8" s="63">
        <x:v>4</x:v>
      </x:c>
      <x:c r="B8" s="63" t="s">
        <x:v>789</x:v>
      </x:c>
      <x:c r="C8" s="63" t="s">
        <x:v>156</x:v>
      </x:c>
      <x:c r="D8" s="115" t="s">
        <x:v>96</x:v>
      </x:c>
      <x:c r="E8" s="74">
        <x:f>'21년04월(세부내역)'!K43</x:f>
        <x:v>0</x:v>
      </x:c>
      <x:c r="F8" s="59">
        <x:f>'21년04월(세부내역)'!K60</x:f>
        <x:v>5174030</x:v>
      </x:c>
      <x:c r="G8" s="59">
        <x:f>'21년04월(세부내역)'!K65</x:f>
        <x:v>16400000</x:v>
      </x:c>
      <x:c r="H8" s="59">
        <x:f>'21년04월(세부내역)'!K70</x:f>
        <x:v>0</x:v>
      </x:c>
      <x:c r="I8" s="59">
        <x:f>'21년04월(세부내역)'!K81</x:f>
        <x:v>1687117</x:v>
      </x:c>
      <x:c r="J8" s="75">
        <x:f t="shared" si="0"/>
        <x:v>23261147</x:v>
      </x:c>
      <x:c r="K8" s="141">
        <x:f t="shared" si="1"/>
        <x:v>-23261147</x:v>
      </x:c>
      <x:c r="L8" s="119"/>
    </x:row>
    <x:row r="9" spans="1:12" ht="30" customHeight="1">
      <x:c r="A9" s="63">
        <x:v>5</x:v>
      </x:c>
      <x:c r="B9" s="63" t="s">
        <x:v>415</x:v>
      </x:c>
      <x:c r="C9" s="63" t="s">
        <x:v>791</x:v>
      </x:c>
      <x:c r="D9" s="115" t="s">
        <x:v>95</x:v>
      </x:c>
      <x:c r="E9" s="74">
        <x:f>'21년04월(세부내역)'!D86</x:f>
        <x:v>20000000</x:v>
      </x:c>
      <x:c r="F9" s="59">
        <x:f>'21년04월(세부내역)'!D103</x:f>
        <x:v>4020550</x:v>
      </x:c>
      <x:c r="G9" s="59">
        <x:f>'21년04월(세부내역)'!D108</x:f>
        <x:v>11100000</x:v>
      </x:c>
      <x:c r="H9" s="59">
        <x:f>'21년04월(세부내역)'!D113</x:f>
        <x:v>0</x:v>
      </x:c>
      <x:c r="I9" s="59">
        <x:f>'21년04월(세부내역)'!D124</x:f>
        <x:v>1600010</x:v>
      </x:c>
      <x:c r="J9" s="75">
        <x:f t="shared" si="0"/>
        <x:v>16720560</x:v>
      </x:c>
      <x:c r="K9" s="141">
        <x:f t="shared" si="1"/>
        <x:v>3279440</x:v>
      </x:c>
      <x:c r="L9" s="119"/>
    </x:row>
    <x:row r="10" spans="1:12" ht="30" customHeight="1">
      <x:c r="A10" s="63">
        <x:v>6</x:v>
      </x:c>
      <x:c r="B10" s="63" t="s">
        <x:v>466</x:v>
      </x:c>
      <x:c r="C10" s="63" t="s">
        <x:v>791</x:v>
      </x:c>
      <x:c r="D10" s="115" t="s">
        <x:v>116</x:v>
      </x:c>
      <x:c r="E10" s="74">
        <x:f>'21년04월(세부내역)'!K86</x:f>
        <x:v>12000000</x:v>
      </x:c>
      <x:c r="F10" s="59">
        <x:f>'21년04월(세부내역)'!K103</x:f>
        <x:v>10645450</x:v>
      </x:c>
      <x:c r="G10" s="59">
        <x:f>'21년04월(세부내역)'!K108</x:f>
        <x:v>3640000</x:v>
      </x:c>
      <x:c r="H10" s="59">
        <x:f>'21년04월(세부내역)'!K113</x:f>
        <x:v>0</x:v>
      </x:c>
      <x:c r="I10" s="59">
        <x:f>'21년04월(세부내역)'!K124</x:f>
        <x:v>432040</x:v>
      </x:c>
      <x:c r="J10" s="75">
        <x:f t="shared" si="0"/>
        <x:v>14717490</x:v>
      </x:c>
      <x:c r="K10" s="141">
        <x:f t="shared" si="1"/>
        <x:v>-2717490</x:v>
      </x:c>
      <x:c r="L10" s="119"/>
    </x:row>
    <x:row r="11" spans="1:12" ht="30" customHeight="1">
      <x:c r="A11" s="63">
        <x:v>7</x:v>
      </x:c>
      <x:c r="B11" s="63" t="s">
        <x:v>423</x:v>
      </x:c>
      <x:c r="C11" s="63" t="s">
        <x:v>156</x:v>
      </x:c>
      <x:c r="D11" s="115" t="s">
        <x:v>91</x:v>
      </x:c>
      <x:c r="E11" s="74">
        <x:f>'21년04월(세부내역)'!D129</x:f>
        <x:v>153424000</x:v>
      </x:c>
      <x:c r="F11" s="59">
        <x:f>'21년04월(세부내역)'!D146</x:f>
        <x:v>251765000</x:v>
      </x:c>
      <x:c r="G11" s="59">
        <x:f>'21년04월(세부내역)'!D151</x:f>
        <x:v>35415000</x:v>
      </x:c>
      <x:c r="H11" s="59">
        <x:f>'21년04월(세부내역)'!D156</x:f>
        <x:v>9800000</x:v>
      </x:c>
      <x:c r="I11" s="59">
        <x:f>'21년04월(세부내역)'!D167</x:f>
        <x:v>860100</x:v>
      </x:c>
      <x:c r="J11" s="75">
        <x:f t="shared" si="0"/>
        <x:v>297840100</x:v>
      </x:c>
      <x:c r="K11" s="141">
        <x:f t="shared" si="1"/>
        <x:v>-144416100</x:v>
      </x:c>
      <x:c r="L11" s="119" t="s">
        <x:v>1720</x:v>
      </x:c>
    </x:row>
    <x:row r="12" spans="1:12" ht="30" customHeight="1">
      <x:c r="A12" s="63">
        <x:v>8</x:v>
      </x:c>
      <x:c r="B12" s="63" t="s">
        <x:v>469</x:v>
      </x:c>
      <x:c r="C12" s="63" t="s">
        <x:v>156</x:v>
      </x:c>
      <x:c r="D12" s="115" t="s">
        <x:v>481</x:v>
      </x:c>
      <x:c r="E12" s="74">
        <x:f>'21년04월(세부내역)'!K129</x:f>
        <x:v>0</x:v>
      </x:c>
      <x:c r="F12" s="59">
        <x:f>'21년04월(세부내역)'!K146</x:f>
        <x:v>8877778</x:v>
      </x:c>
      <x:c r="G12" s="59">
        <x:f>+'21년04월(세부내역)'!K151</x:f>
        <x:v>0</x:v>
      </x:c>
      <x:c r="H12" s="59">
        <x:f>+'21년04월(세부내역)'!K156</x:f>
        <x:v>0</x:v>
      </x:c>
      <x:c r="I12" s="59">
        <x:f>+'21년04월(세부내역)'!K167</x:f>
        <x:v>0</x:v>
      </x:c>
      <x:c r="J12" s="75">
        <x:f t="shared" si="0"/>
        <x:v>8877778</x:v>
      </x:c>
      <x:c r="K12" s="141">
        <x:f>E12-J12</x:f>
        <x:v>-8877778</x:v>
      </x:c>
      <x:c r="L12" s="119"/>
    </x:row>
    <x:row r="13" spans="1:12" ht="30" customHeight="1">
      <x:c r="A13" s="64"/>
      <x:c r="B13" s="64" t="s">
        <x:v>1690</x:v>
      </x:c>
      <x:c r="C13" s="64"/>
      <x:c r="D13" s="64"/>
      <x:c r="E13" s="68">
        <x:f>SUM(E5:E12)</x:f>
        <x:v>431471000</x:v>
      </x:c>
      <x:c r="F13" s="66">
        <x:f t="shared" ref="F13:K13" si="2">SUM(F5:F12)</x:f>
        <x:v>354611808</x:v>
      </x:c>
      <x:c r="G13" s="66">
        <x:f t="shared" si="2"/>
        <x:v>202089000</x:v>
      </x:c>
      <x:c r="H13" s="66">
        <x:f t="shared" si="2"/>
        <x:v>11420000</x:v>
      </x:c>
      <x:c r="I13" s="66">
        <x:f t="shared" si="2"/>
        <x:v>13770905</x:v>
      </x:c>
      <x:c r="J13" s="69">
        <x:f t="shared" si="2"/>
        <x:v>581891713</x:v>
      </x:c>
      <x:c r="K13" s="142">
        <x:f t="shared" si="2"/>
        <x:v>-150420713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5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4"/>
  <x:dimension ref="A1:T185"/>
  <x:sheetViews>
    <x:sheetView view="pageBreakPreview" topLeftCell="A73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19" width="10.875" style="2" customWidth="1"/>
    <x:col min="20" max="20" width="11.875" style="1" customWidth="1"/>
  </x:cols>
  <x:sheetData>
    <x:row r="1" spans="1:20" ht="38.25" customHeight="1">
      <x:c r="A1" s="286" t="s">
        <x:v>1783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307"/>
    </x:row>
    <x:row r="2" spans="1:20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4" t="s">
        <x:v>282</x:v>
      </x:c>
    </x:row>
    <x:row r="3" spans="1:20" ht="20.100000000000001" customHeight="1">
      <x:c r="A3" s="29" t="s">
        <x:v>147</x:v>
      </x:c>
      <x:c r="B3" s="189" t="s">
        <x:v>144</x:v>
      </x:c>
      <x:c r="C3" s="189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89" t="s">
        <x:v>144</x:v>
      </x:c>
      <x:c r="J3" s="189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5">
        <x:f>+O3-(P3+R3+Q3)</x:f>
        <x:v>0</x:v>
      </x:c>
    </x:row>
    <x:row r="4" spans="1:20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155047000</x:v>
      </x:c>
      <x:c r="E4" s="39">
        <x:v>4953000</x:v>
      </x:c>
      <x:c r="F4" s="40">
        <x:f>+D4+E4</x:f>
        <x:v>160000000</x:v>
      </x:c>
      <x:c r="G4" s="42"/>
      <x:c r="H4" s="188" t="s">
        <x:v>151</x:v>
      </x:c>
      <x:c r="I4" s="38" t="s">
        <x:v>1679</x:v>
      </x:c>
      <x:c r="J4" s="38" t="s">
        <x:v>1030</x:v>
      </x:c>
      <x:c r="K4" s="39">
        <x:v>91000000</x:v>
      </x:c>
      <x:c r="L4" s="39">
        <x:v>200000</x:v>
      </x:c>
      <x:c r="M4" s="40">
        <x:f>+K4+L4</x:f>
        <x:v>91200000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6"/>
    </x:row>
    <x:row r="5" spans="1:20" ht="20.100000000000001" customHeight="1">
      <x:c r="A5" s="298" t="s">
        <x:v>148</x:v>
      </x:c>
      <x:c r="B5" s="165" t="s">
        <x:v>867</x:v>
      </x:c>
      <x:c r="C5" s="166" t="s">
        <x:v>384</x:v>
      </x:c>
      <x:c r="D5" s="167">
        <x:v>-12438500</x:v>
      </x:c>
      <x:c r="E5" s="167">
        <x:f>+D5*0.1</x:f>
        <x:v>-1243850</x:v>
      </x:c>
      <x:c r="F5" s="168">
        <x:f>+D5+E5</x:f>
        <x:v>-13682350</x:v>
      </x:c>
      <x:c r="G5" s="169" t="s">
        <x:v>1305</x:v>
      </x:c>
      <x:c r="H5" s="298" t="s">
        <x:v>148</x:v>
      </x:c>
      <x:c r="I5" s="19" t="s">
        <x:v>838</x:v>
      </x:c>
      <x:c r="J5" s="19" t="s">
        <x:v>1055</x:v>
      </x:c>
      <x:c r="K5" s="20">
        <x:v>235500</x:v>
      </x:c>
      <x:c r="L5" s="20">
        <x:f t="shared" ref="L5:L13" si="0">+K5*0.1</x:f>
        <x:v>23550</x:v>
      </x:c>
      <x:c r="M5" s="21">
        <x:f t="shared" ref="M5:M21" si="1">+K5+L5</x:f>
        <x:v>259050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5">
        <x:f>+O5-(P5+R5+Q5+S5)</x:f>
        <x:v>171846960</x:v>
      </x:c>
    </x:row>
    <x:row r="6" spans="1:14" ht="20.100000000000001" customHeight="1">
      <x:c r="A6" s="299"/>
      <x:c r="B6" s="178" t="s">
        <x:v>902</x:v>
      </x:c>
      <x:c r="C6" s="178" t="s">
        <x:v>1116</x:v>
      </x:c>
      <x:c r="D6" s="163">
        <x:v>26694460</x:v>
      </x:c>
      <x:c r="E6" s="163">
        <x:f t="shared" ref="E6:E16" si="2">+D6*0.1</x:f>
        <x:v>2669446</x:v>
      </x:c>
      <x:c r="F6" s="164">
        <x:f t="shared" ref="F6:F16" si="3">+D6+E6</x:f>
        <x:v>29363906</x:v>
      </x:c>
      <x:c r="G6" s="180"/>
      <x:c r="H6" s="299"/>
      <x:c r="I6" s="3" t="s">
        <x:v>867</x:v>
      </x:c>
      <x:c r="J6" s="3" t="s">
        <x:v>374</x:v>
      </x:c>
      <x:c r="K6" s="4">
        <x:v>2283580</x:v>
      </x:c>
      <x:c r="L6" s="4">
        <x:f>+INT(K6*0.1)</x:f>
        <x:v>228358</x:v>
      </x:c>
      <x:c r="M6" s="5">
        <x:f t="shared" si="1"/>
        <x:v>2511938</x:v>
      </x:c>
      <x:c r="N6" s="6"/>
    </x:row>
    <x:row r="7" spans="1:14" ht="20.100000000000001" customHeight="1">
      <x:c r="A7" s="299"/>
      <x:c r="B7" s="162" t="s">
        <x:v>867</x:v>
      </x:c>
      <x:c r="C7" s="162" t="s">
        <x:v>384</x:v>
      </x:c>
      <x:c r="D7" s="44">
        <x:v>12438500</x:v>
      </x:c>
      <x:c r="E7" s="44">
        <x:f t="shared" si="2"/>
        <x:v>1243850</x:v>
      </x:c>
      <x:c r="F7" s="45">
        <x:f t="shared" si="3"/>
        <x:v>13682350</x:v>
      </x:c>
      <x:c r="G7" s="179"/>
      <x:c r="H7" s="299"/>
      <x:c r="I7" s="3" t="s">
        <x:v>854</x:v>
      </x:c>
      <x:c r="J7" s="3" t="s">
        <x:v>741</x:v>
      </x:c>
      <x:c r="K7" s="4">
        <x:v>18258940</x:v>
      </x:c>
      <x:c r="L7" s="4">
        <x:f>+K7*0.1</x:f>
        <x:v>1825894</x:v>
      </x:c>
      <x:c r="M7" s="5">
        <x:f t="shared" si="1"/>
        <x:v>20084834</x:v>
      </x:c>
      <x:c r="N7" s="6"/>
    </x:row>
    <x:row r="8" spans="1:14" ht="20.100000000000001" customHeight="1">
      <x:c r="A8" s="299"/>
      <x:c r="B8" s="3" t="s">
        <x:v>1348</x:v>
      </x:c>
      <x:c r="C8" s="3" t="s">
        <x:v>401</x:v>
      </x:c>
      <x:c r="D8" s="4">
        <x:v>1743600</x:v>
      </x:c>
      <x:c r="E8" s="4">
        <x:f>+D8*0.1</x:f>
        <x:v>174360</x:v>
      </x:c>
      <x:c r="F8" s="5">
        <x:f>+D8+E8</x:f>
        <x:v>1917960</x:v>
      </x:c>
      <x:c r="G8" s="37"/>
      <x:c r="H8" s="299"/>
      <x:c r="I8" s="3" t="s">
        <x:v>1315</x:v>
      </x:c>
      <x:c r="J8" s="3"/>
      <x:c r="K8" s="4"/>
      <x:c r="L8" s="4">
        <x:f>+(K8*0.1)</x:f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 t="s">
        <x:v>938</x:v>
      </x:c>
      <x:c r="C9" s="162" t="s">
        <x:v>1094</x:v>
      </x:c>
      <x:c r="D9" s="4">
        <x:v>2664000</x:v>
      </x:c>
      <x:c r="E9" s="4">
        <x:f>+D9*0.1</x:f>
        <x:v>266400</x:v>
      </x:c>
      <x:c r="F9" s="5">
        <x:f>+D9+E9</x:f>
        <x:v>2930400</x:v>
      </x:c>
      <x:c r="G9" s="37"/>
      <x:c r="H9" s="299"/>
      <x:c r="I9" s="3" t="s">
        <x:v>1058</x:v>
      </x:c>
      <x:c r="J9" s="3" t="s">
        <x:v>477</x:v>
      </x:c>
      <x:c r="K9" s="4">
        <x:v>26440</x:v>
      </x:c>
      <x:c r="L9" s="4">
        <x:f>INT(K9*0.1)</x:f>
        <x:v>2644</x:v>
      </x:c>
      <x:c r="M9" s="5">
        <x:f t="shared" si="1"/>
        <x:v>29084</x:v>
      </x:c>
      <x:c r="N9" s="6"/>
    </x:row>
    <x:row r="10" spans="1:14" ht="20.100000000000001" customHeight="1">
      <x:c r="A10" s="299"/>
      <x:c r="B10" s="3" t="s">
        <x:v>907</x:v>
      </x:c>
      <x:c r="C10" s="162" t="s">
        <x:v>1382</x:v>
      </x:c>
      <x:c r="D10" s="163">
        <x:v>1750000</x:v>
      </x:c>
      <x:c r="E10" s="4">
        <x:f>+D10*0.1</x:f>
        <x:v>175000</x:v>
      </x:c>
      <x:c r="F10" s="45">
        <x:f>+D10+E10</x:f>
        <x:v>1925000</x:v>
      </x:c>
      <x:c r="G10" s="37"/>
      <x:c r="H10" s="299"/>
      <x:c r="I10" s="3" t="s">
        <x:v>840</x:v>
      </x:c>
      <x:c r="J10" s="3" t="s">
        <x:v>142</x:v>
      </x:c>
      <x:c r="K10" s="4">
        <x:v>634500</x:v>
      </x:c>
      <x:c r="L10" s="4">
        <x:f t="shared" si="0"/>
        <x:v>63450</x:v>
      </x:c>
      <x:c r="M10" s="5">
        <x:f t="shared" si="1"/>
        <x:v>697950</x:v>
      </x:c>
      <x:c r="N10" s="6"/>
    </x:row>
    <x:row r="11" spans="1:14" ht="20.100000000000001" customHeight="1">
      <x:c r="A11" s="299"/>
      <x:c r="B11" s="3" t="s">
        <x:v>1119</x:v>
      </x:c>
      <x:c r="C11" s="162" t="s">
        <x:v>717</x:v>
      </x:c>
      <x:c r="D11" s="163">
        <x:v>1833000</x:v>
      </x:c>
      <x:c r="E11" s="4">
        <x:f>+D11*0.1</x:f>
        <x:v>183300</x:v>
      </x:c>
      <x:c r="F11" s="45">
        <x:f>+D11+E11</x:f>
        <x:v>2016300</x:v>
      </x:c>
      <x:c r="G11" s="37"/>
      <x:c r="H11" s="299"/>
      <x:c r="I11" s="3" t="s">
        <x:v>846</x:v>
      </x:c>
      <x:c r="J11" s="3" t="s">
        <x:v>1191</x:v>
      </x:c>
      <x:c r="K11" s="4">
        <x:v>221030</x:v>
      </x:c>
      <x:c r="L11" s="4">
        <x:f t="shared" si="0"/>
        <x:v>22103</x:v>
      </x:c>
      <x:c r="M11" s="5">
        <x:f t="shared" si="1"/>
        <x:v>243133</x:v>
      </x:c>
      <x:c r="N11" s="6"/>
    </x:row>
    <x:row r="12" spans="1:14" ht="20.100000000000001" customHeight="1">
      <x:c r="A12" s="299"/>
      <x:c r="B12" s="3" t="s">
        <x:v>846</x:v>
      </x:c>
      <x:c r="C12" s="3" t="s">
        <x:v>1375</x:v>
      </x:c>
      <x:c r="D12" s="4">
        <x:v>3963960</x:v>
      </x:c>
      <x:c r="E12" s="4">
        <x:f>+D12*0.1</x:f>
        <x:v>396396</x:v>
      </x:c>
      <x:c r="F12" s="5">
        <x:f>+D12+E12</x:f>
        <x:v>4360356</x:v>
      </x:c>
      <x:c r="G12" s="37"/>
      <x:c r="H12" s="299"/>
      <x:c r="I12" s="3" t="s">
        <x:v>846</x:v>
      </x:c>
      <x:c r="J12" s="3"/>
      <x:c r="K12" s="4"/>
      <x:c r="L12" s="4">
        <x:f t="shared" si="0"/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/>
      <x:c r="C13" s="3"/>
      <x:c r="D13" s="4"/>
      <x:c r="E13" s="4">
        <x:f t="shared" si="2"/>
        <x:v>0</x:v>
      </x:c>
      <x:c r="F13" s="5">
        <x:f t="shared" si="3"/>
        <x:v>0</x:v>
      </x:c>
      <x:c r="G13" s="37"/>
      <x:c r="H13" s="299"/>
      <x:c r="I13" s="3" t="s">
        <x:v>967</x:v>
      </x:c>
      <x:c r="J13" s="3" t="s">
        <x:v>1337</x:v>
      </x:c>
      <x:c r="K13" s="4">
        <x:v>3724110</x:v>
      </x:c>
      <x:c r="L13" s="4">
        <x:f t="shared" si="0"/>
        <x:v>372411</x:v>
      </x:c>
      <x:c r="M13" s="5">
        <x:f t="shared" si="1"/>
        <x:v>4096521</x:v>
      </x:c>
      <x:c r="N13" s="6"/>
    </x:row>
    <x:row r="14" spans="1:14" ht="20.100000000000001" customHeight="1">
      <x:c r="A14" s="299"/>
      <x:c r="B14" s="162"/>
      <x:c r="C14" s="162"/>
      <x:c r="D14" s="163"/>
      <x:c r="E14" s="4"/>
      <x:c r="F14" s="45">
        <x:f t="shared" si="3"/>
        <x:v>0</x:v>
      </x:c>
      <x:c r="G14" s="37"/>
      <x:c r="H14" s="299"/>
      <x:c r="I14" s="3" t="s">
        <x:v>1016</x:v>
      </x:c>
      <x:c r="J14" s="3" t="s">
        <x:v>1231</x:v>
      </x:c>
      <x:c r="K14" s="4">
        <x:v>10000000</x:v>
      </x:c>
      <x:c r="L14" s="4">
        <x:f>INT(K14*0.1)</x:f>
        <x:v>1000000</x:v>
      </x:c>
      <x:c r="M14" s="5">
        <x:f t="shared" si="1"/>
        <x:v>11000000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2"/>
        <x:v>0</x:v>
      </x:c>
      <x:c r="F15" s="45">
        <x:f t="shared" si="3"/>
        <x:v>0</x:v>
      </x:c>
      <x:c r="G15" s="6"/>
      <x:c r="H15" s="299"/>
      <x:c r="I15" s="3"/>
      <x:c r="J15" s="3"/>
      <x:c r="K15" s="4"/>
      <x:c r="L15" s="4">
        <x:f>K15*0.1</x:f>
        <x:v>0</x:v>
      </x:c>
      <x:c r="M15" s="5">
        <x:f t="shared" si="1"/>
        <x:v>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2"/>
        <x:v>0</x:v>
      </x:c>
      <x:c r="F16" s="45">
        <x:f t="shared" si="3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1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38649020</x:v>
      </x:c>
      <x:c r="E17" s="9">
        <x:f>SUM(E5:E16)</x:f>
        <x:v>3864902</x:v>
      </x:c>
      <x:c r="F17" s="10">
        <x:f>SUM(F5:F16)</x:f>
        <x:v>42513922</x:v>
      </x:c>
      <x:c r="G17" s="11"/>
      <x:c r="H17" s="7"/>
      <x:c r="I17" s="8"/>
      <x:c r="J17" s="8"/>
      <x:c r="K17" s="9">
        <x:f>SUM(K5:K16)</x:f>
        <x:v>35384100</x:v>
      </x:c>
      <x:c r="L17" s="9">
        <x:f>SUM(L5:L16)</x:f>
        <x:v>3538410</x:v>
      </x:c>
      <x:c r="M17" s="10">
        <x:f>SUM(M5:M16)</x:f>
        <x:v>38922510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26605000</x:v>
      </x:c>
      <x:c r="E18" s="44"/>
      <x:c r="F18" s="45">
        <x:f>+D18+E18</x:f>
        <x:v>26605000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22460000</x:v>
      </x:c>
      <x:c r="L18" s="4"/>
      <x:c r="M18" s="5">
        <x:f t="shared" si="1"/>
        <x:v>22460000</x:v>
      </x:c>
      <x:c r="N18" s="6"/>
    </x:row>
    <x:row r="19" spans="1:14" ht="20.100000000000001" customHeight="1">
      <x:c r="A19" s="299"/>
      <x:c r="B19" s="3" t="s">
        <x:v>1241</x:v>
      </x:c>
      <x:c r="C19" s="3" t="s">
        <x:v>1368</x:v>
      </x:c>
      <x:c r="D19" s="4">
        <x:v>29537500</x:v>
      </x:c>
      <x:c r="E19" s="4">
        <x:f>10538500*10%</x:f>
        <x:v>1053850</x:v>
      </x:c>
      <x:c r="F19" s="5">
        <x:f>+D19+E19</x:f>
        <x:v>30591350</x:v>
      </x:c>
      <x:c r="G19" s="37" t="s">
        <x:v>257</x:v>
      </x:c>
      <x:c r="H19" s="299"/>
      <x:c r="I19" s="3"/>
      <x:c r="J19" s="3"/>
      <x:c r="K19" s="4"/>
      <x:c r="L19" s="4">
        <x:f>INT(K19*0.1)</x:f>
        <x:v>0</x:v>
      </x:c>
      <x:c r="M19" s="5">
        <x:f t="shared" si="1"/>
        <x:v>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1369</x:v>
      </x:c>
      <x:c r="D20" s="4">
        <x:v>41911500</x:v>
      </x:c>
      <x:c r="E20" s="4">
        <x:f>21881500*10%</x:f>
        <x:v>2188150</x:v>
      </x:c>
      <x:c r="F20" s="5">
        <x:f>+D20+E20</x:f>
        <x:v>44099650</x:v>
      </x:c>
      <x:c r="G20" s="37" t="s">
        <x:v>269</x:v>
      </x:c>
      <x:c r="H20" s="299"/>
      <x:c r="I20" s="3"/>
      <x:c r="J20" s="3"/>
      <x:c r="K20" s="4"/>
      <x:c r="L20" s="4"/>
      <x:c r="M20" s="5">
        <x:f t="shared" si="1"/>
        <x:v>0</x:v>
      </x:c>
      <x:c r="N20" s="6"/>
    </x:row>
    <x:row r="21" spans="1:14" ht="20.100000000000001" customHeight="1">
      <x:c r="A21" s="300"/>
      <x:c r="B21" s="3" t="s">
        <x:v>960</x:v>
      </x:c>
      <x:c r="C21" s="3" t="s">
        <x:v>950</x:v>
      </x:c>
      <x:c r="D21" s="4">
        <x:v>6000000</x:v>
      </x:c>
      <x:c r="E21" s="4">
        <x:f>+D21*0.1</x:f>
        <x:v>600000</x:v>
      </x:c>
      <x:c r="F21" s="5">
        <x:f>+D21+E21</x:f>
        <x:v>6600000</x:v>
      </x:c>
      <x:c r="G21" s="6"/>
      <x:c r="H21" s="300"/>
      <x:c r="I21" s="3"/>
      <x:c r="J21" s="3"/>
      <x:c r="K21" s="4"/>
      <x:c r="L21" s="4"/>
      <x:c r="M21" s="5">
        <x:f t="shared" si="1"/>
        <x:v>0</x:v>
      </x:c>
      <x:c r="N21" s="6"/>
    </x:row>
    <x:row r="22" spans="1:14" ht="20.100000000000001" customHeight="1">
      <x:c r="A22" s="7" t="s">
        <x:v>155</x:v>
      </x:c>
      <x:c r="B22" s="8"/>
      <x:c r="C22" s="8"/>
      <x:c r="D22" s="9">
        <x:f>SUM(D18:D21)</x:f>
        <x:v>104054000</x:v>
      </x:c>
      <x:c r="E22" s="9">
        <x:f>SUM(E18:E21)</x:f>
        <x:v>3842000</x:v>
      </x:c>
      <x:c r="F22" s="10">
        <x:f>SUM(F18:F21)</x:f>
        <x:v>107896000</x:v>
      </x:c>
      <x:c r="G22" s="11"/>
      <x:c r="H22" s="7"/>
      <x:c r="I22" s="8"/>
      <x:c r="J22" s="8"/>
      <x:c r="K22" s="9">
        <x:f>SUM(K18:K21)</x:f>
        <x:v>22460000</x:v>
      </x:c>
      <x:c r="L22" s="9">
        <x:f>SUM(L18:L21)</x:f>
        <x:v>0</x:v>
      </x:c>
      <x:c r="M22" s="10">
        <x:f>SUM(M18:M21)</x:f>
        <x:v>22460000</x:v>
      </x:c>
      <x:c r="N22" s="11"/>
    </x:row>
    <x:row r="23" spans="1:14" ht="20.100000000000001" customHeight="1">
      <x:c r="A23" s="301" t="s">
        <x:v>187</x:v>
      </x:c>
      <x:c r="B23" s="3" t="s">
        <x:v>1321</x:v>
      </x:c>
      <x:c r="C23" s="3" t="s">
        <x:v>948</x:v>
      </x:c>
      <x:c r="D23" s="4">
        <x:v>180000</x:v>
      </x:c>
      <x:c r="E23" s="4">
        <x:f>+D23*0.1</x:f>
        <x:v>18000</x:v>
      </x:c>
      <x:c r="F23" s="5">
        <x:f>+D23+E23</x:f>
        <x:v>198000</x:v>
      </x:c>
      <x:c r="G23" s="6"/>
      <x:c r="H23" s="301" t="s">
        <x:v>187</x:v>
      </x:c>
      <x:c r="I23" s="3" t="s">
        <x:v>1360</x:v>
      </x:c>
      <x:c r="J23" s="3" t="s">
        <x:v>157</x:v>
      </x:c>
      <x:c r="K23" s="4">
        <x:v>500000</x:v>
      </x:c>
      <x:c r="L23" s="4">
        <x:f>+K23*0.1</x:f>
        <x:v>50000</x:v>
      </x:c>
      <x:c r="M23" s="5">
        <x:f>+K23+L23</x:f>
        <x:v>550000</x:v>
      </x:c>
      <x:c r="N23" s="6"/>
    </x:row>
    <x:row r="24" spans="1:14" ht="20.100000000000001" customHeight="1">
      <x:c r="A24" s="299"/>
      <x:c r="B24" s="3" t="s">
        <x:v>1387</x:v>
      </x:c>
      <x:c r="C24" s="3" t="s">
        <x:v>157</x:v>
      </x:c>
      <x:c r="D24" s="4">
        <x:v>600000</x:v>
      </x:c>
      <x:c r="E24" s="4">
        <x:f>+D24*0.1</x:f>
        <x:v>60000</x:v>
      </x:c>
      <x:c r="F24" s="5">
        <x:f>+D24+E24</x:f>
        <x:v>660000</x:v>
      </x:c>
      <x:c r="G24" s="6"/>
      <x:c r="H24" s="299"/>
      <x:c r="I24" s="3" t="s">
        <x:v>1211</x:v>
      </x:c>
      <x:c r="J24" s="3" t="s">
        <x:v>948</x:v>
      </x:c>
      <x:c r="K24" s="4">
        <x:v>200000</x:v>
      </x:c>
      <x:c r="L24" s="4">
        <x:f>K24*0.1</x:f>
        <x:v>20000</x:v>
      </x:c>
      <x:c r="M24" s="5">
        <x:f>+K24+L24</x:f>
        <x:v>220000</x:v>
      </x:c>
      <x:c r="N24" s="6"/>
    </x:row>
    <x:row r="25" spans="1:14" ht="20.100000000000001" customHeight="1">
      <x:c r="A25" s="299"/>
      <x:c r="B25" s="3"/>
      <x:c r="C25" s="3"/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 t="s">
        <x:v>1124</x:v>
      </x:c>
      <x:c r="J25" s="3" t="s">
        <x:v>1126</x:v>
      </x:c>
      <x:c r="K25" s="4">
        <x:v>140000</x:v>
      </x:c>
      <x:c r="L25" s="4">
        <x:f>+K25*0.1</x:f>
        <x:v>14000</x:v>
      </x:c>
      <x:c r="M25" s="5">
        <x:f>+K25+L25</x:f>
        <x:v>154000</x:v>
      </x:c>
      <x:c r="N25" s="6" t="s">
        <x:v>266</x:v>
      </x:c>
    </x:row>
    <x:row r="26" spans="1:14" ht="20.100000000000001" customHeight="1">
      <x:c r="A26" s="300"/>
      <x:c r="B26" s="3"/>
      <x:c r="C26" s="3"/>
      <x:c r="D26" s="4"/>
      <x:c r="E26" s="4">
        <x:f>+D26*0.1</x:f>
        <x:v>0</x:v>
      </x:c>
      <x:c r="F26" s="5">
        <x:f>+D26+E26</x:f>
        <x:v>0</x:v>
      </x:c>
      <x:c r="G26" s="6"/>
      <x:c r="H26" s="300"/>
      <x:c r="I26" s="3"/>
      <x:c r="J26" s="3"/>
      <x:c r="K26" s="4"/>
      <x:c r="L26" s="4">
        <x:f>+K26*0.1</x:f>
        <x:v>0</x:v>
      </x:c>
      <x:c r="M26" s="5">
        <x:f>+K26+L26</x:f>
        <x:v>0</x:v>
      </x:c>
      <x:c r="N26" s="6"/>
    </x:row>
    <x:row r="27" spans="1:14" ht="20.100000000000001" customHeight="1">
      <x:c r="A27" s="7" t="s">
        <x:v>155</x:v>
      </x:c>
      <x:c r="B27" s="8"/>
      <x:c r="C27" s="8"/>
      <x:c r="D27" s="9">
        <x:f>SUM(D23:D26)</x:f>
        <x:v>780000</x:v>
      </x:c>
      <x:c r="E27" s="9">
        <x:f>SUM(E23:E26)</x:f>
        <x:v>78000</x:v>
      </x:c>
      <x:c r="F27" s="10">
        <x:f>SUM(F23:F26)</x:f>
        <x:v>858000</x:v>
      </x:c>
      <x:c r="G27" s="11"/>
      <x:c r="H27" s="7"/>
      <x:c r="I27" s="8"/>
      <x:c r="J27" s="8"/>
      <x:c r="K27" s="9">
        <x:f>SUM(K23:K26)</x:f>
        <x:v>840000</x:v>
      </x:c>
      <x:c r="L27" s="9">
        <x:f>SUM(L23:L26)</x:f>
        <x:v>84000</x:v>
      </x:c>
      <x:c r="M27" s="10">
        <x:f>SUM(M23:M26)</x:f>
        <x:v>924000</x:v>
      </x:c>
      <x:c r="N27" s="11"/>
    </x:row>
    <x:row r="28" spans="1:14" ht="20.100000000000001" customHeight="1">
      <x:c r="A28" s="301" t="s">
        <x:v>149</x:v>
      </x:c>
      <x:c r="B28" s="3" t="s">
        <x:v>185</x:v>
      </x:c>
      <x:c r="C28" s="3" t="s">
        <x:v>149</x:v>
      </x:c>
      <x:c r="D28" s="44">
        <x:v>1591950</x:v>
      </x:c>
      <x:c r="E28" s="44"/>
      <x:c r="F28" s="5">
        <x:f>+D28+E28</x:f>
        <x:v>1591950</x:v>
      </x:c>
      <x:c r="G28" s="6"/>
      <x:c r="H28" s="301" t="s">
        <x:v>149</x:v>
      </x:c>
      <x:c r="I28" s="3" t="s">
        <x:v>169</x:v>
      </x:c>
      <x:c r="J28" s="3" t="s">
        <x:v>149</x:v>
      </x:c>
      <x:c r="K28" s="4">
        <x:v>1039650</x:v>
      </x:c>
      <x:c r="L28" s="4">
        <x:v>7000</x:v>
      </x:c>
      <x:c r="M28" s="5">
        <x:f>+K28+L28</x:f>
        <x:v>1046650</x:v>
      </x:c>
      <x:c r="N28" s="6"/>
    </x:row>
    <x:row r="29" spans="1:14" ht="20.100000000000001" customHeight="1">
      <x:c r="A29" s="299"/>
      <x:c r="B29" s="3" t="s">
        <x:v>1274</x:v>
      </x:c>
      <x:c r="C29" s="3" t="s">
        <x:v>42</x:v>
      </x:c>
      <x:c r="D29" s="4">
        <x:v>581818</x:v>
      </x:c>
      <x:c r="E29" s="4">
        <x:f>+INT(D29*0.1)+1</x:f>
        <x:v>58182</x:v>
      </x:c>
      <x:c r="F29" s="5">
        <x:f>+D29+E29</x:f>
        <x:v>640000</x:v>
      </x:c>
      <x:c r="G29" s="6"/>
      <x:c r="H29" s="299"/>
      <x:c r="I29" s="3" t="s">
        <x:v>1205</x:v>
      </x:c>
      <x:c r="J29" s="3" t="s">
        <x:v>28</x:v>
      </x:c>
      <x:c r="K29" s="4">
        <x:v>616363</x:v>
      </x:c>
      <x:c r="L29" s="4">
        <x:f>+INT(K29*0.1)+1</x:f>
        <x:v>61637</x:v>
      </x:c>
      <x:c r="M29" s="5">
        <x:f>+K29+L29</x:f>
        <x:v>678000</x:v>
      </x:c>
      <x:c r="N29" s="6"/>
    </x:row>
    <x:row r="30" spans="1:14" ht="20.100000000000001" customHeight="1">
      <x:c r="A30" s="299"/>
      <x:c r="B30" s="3" t="s">
        <x:v>1313</x:v>
      </x:c>
      <x:c r="C30" s="3" t="s">
        <x:v>825</x:v>
      </x:c>
      <x:c r="D30" s="4">
        <x:v>247500</x:v>
      </x:c>
      <x:c r="E30" s="4">
        <x:f>+INT(D30*0.1)</x:f>
        <x:v>24750</x:v>
      </x:c>
      <x:c r="F30" s="5">
        <x:f t="shared" ref="F30:F37" si="4">+D30+E30</x:f>
        <x:v>272250</x:v>
      </x:c>
      <x:c r="G30" s="6"/>
      <x:c r="H30" s="299"/>
      <x:c r="I30" s="3" t="s">
        <x:v>217</x:v>
      </x:c>
      <x:c r="J30" s="3" t="s">
        <x:v>736</x:v>
      </x:c>
      <x:c r="K30" s="4">
        <x:v>500000</x:v>
      </x:c>
      <x:c r="L30" s="4">
        <x:f>+K30*0.1</x:f>
        <x:v>50000</x:v>
      </x:c>
      <x:c r="M30" s="5">
        <x:f>+K30+L30</x:f>
        <x:v>550000</x:v>
      </x:c>
      <x:c r="N30" s="6"/>
    </x:row>
    <x:row r="31" spans="1:14" ht="20.100000000000001" customHeight="1">
      <x:c r="A31" s="299"/>
      <x:c r="B31" s="3" t="s">
        <x:v>994</x:v>
      </x:c>
      <x:c r="C31" s="3" t="s">
        <x:v>8</x:v>
      </x:c>
      <x:c r="D31" s="4">
        <x:v>420001</x:v>
      </x:c>
      <x:c r="E31" s="4">
        <x:v>41999</x:v>
      </x:c>
      <x:c r="F31" s="5">
        <x:f t="shared" si="4"/>
        <x:v>462000</x:v>
      </x:c>
      <x:c r="G31" s="6"/>
      <x:c r="H31" s="299"/>
      <x:c r="I31" s="3" t="s">
        <x:v>1680</x:v>
      </x:c>
      <x:c r="J31" s="3" t="s">
        <x:v>1695</x:v>
      </x:c>
      <x:c r="K31" s="4">
        <x:v>100000</x:v>
      </x:c>
      <x:c r="L31" s="4">
        <x:f>K31*0.1</x:f>
        <x:v>10000</x:v>
      </x:c>
      <x:c r="M31" s="5">
        <x:f>+K31+L31</x:f>
        <x:v>110000</x:v>
      </x:c>
      <x:c r="N31" s="6"/>
    </x:row>
    <x:row r="32" spans="1:14" ht="20.100000000000001" customHeight="1">
      <x:c r="A32" s="299"/>
      <x:c r="B32" s="3" t="s">
        <x:v>1680</x:v>
      </x:c>
      <x:c r="C32" s="3" t="s">
        <x:v>1695</x:v>
      </x:c>
      <x:c r="D32" s="4">
        <x:v>100000</x:v>
      </x:c>
      <x:c r="E32" s="4">
        <x:f>+INT(D32*0.1)</x:f>
        <x:v>10000</x:v>
      </x:c>
      <x:c r="F32" s="5">
        <x:f t="shared" si="4"/>
        <x:v>110000</x:v>
      </x:c>
      <x:c r="G32" s="6"/>
      <x:c r="H32" s="299"/>
      <x:c r="I32" s="3" t="s">
        <x:v>1120</x:v>
      </x:c>
      <x:c r="J32" s="3" t="s">
        <x:v>167</x:v>
      </x:c>
      <x:c r="K32" s="4"/>
      <x:c r="L32" s="4">
        <x:f>K32*0.1</x:f>
        <x:v>0</x:v>
      </x:c>
      <x:c r="M32" s="5">
        <x:f t="shared" ref="M32:M37" si="5">+K32+L32</x:f>
        <x:v>0</x:v>
      </x:c>
      <x:c r="N32" s="6"/>
    </x:row>
    <x:row r="33" spans="1:14" ht="20.100000000000001" customHeight="1">
      <x:c r="A33" s="299"/>
      <x:c r="B33" s="3" t="s">
        <x:v>247</x:v>
      </x:c>
      <x:c r="C33" s="3" t="s">
        <x:v>231</x:v>
      </x:c>
      <x:c r="D33" s="4">
        <x:f>20000+3500</x:f>
        <x:v>23500</x:v>
      </x:c>
      <x:c r="E33" s="4">
        <x:f>+INT(D33*0.1)</x:f>
        <x:v>2350</x:v>
      </x:c>
      <x:c r="F33" s="5">
        <x:f t="shared" si="4"/>
        <x:v>25850</x:v>
      </x:c>
      <x:c r="G33" s="146"/>
      <x:c r="H33" s="299"/>
      <x:c r="I33" s="3" t="s">
        <x:v>247</x:v>
      </x:c>
      <x:c r="J33" s="3" t="s">
        <x:v>231</x:v>
      </x:c>
      <x:c r="K33" s="4">
        <x:v>21000</x:v>
      </x:c>
      <x:c r="L33" s="4">
        <x:f>+K33*0.1</x:f>
        <x:v>2100</x:v>
      </x:c>
      <x:c r="M33" s="5">
        <x:f t="shared" si="5"/>
        <x:v>23100</x:v>
      </x:c>
      <x:c r="N33" s="6"/>
    </x:row>
    <x:row r="34" spans="1:14" ht="20.100000000000001" customHeight="1">
      <x:c r="A34" s="299"/>
      <x:c r="B34" s="3" t="s">
        <x:v>238</x:v>
      </x:c>
      <x:c r="C34" s="3" t="s">
        <x:v>405</x:v>
      </x:c>
      <x:c r="D34" s="4">
        <x:v>420000</x:v>
      </x:c>
      <x:c r="E34" s="4"/>
      <x:c r="F34" s="5">
        <x:f t="shared" si="4"/>
        <x:v>420000</x:v>
      </x:c>
      <x:c r="G34" s="146"/>
      <x:c r="H34" s="299"/>
      <x:c r="I34" s="3" t="s">
        <x:v>774</x:v>
      </x:c>
      <x:c r="J34" s="3" t="s">
        <x:v>1233</x:v>
      </x:c>
      <x:c r="K34" s="4">
        <x:v>2100000</x:v>
      </x:c>
      <x:c r="L34" s="4">
        <x:f>+K34*0.1</x:f>
        <x:v>210000</x:v>
      </x:c>
      <x:c r="M34" s="5">
        <x:f t="shared" si="5"/>
        <x:v>2310000</x:v>
      </x:c>
      <x:c r="N34" s="6"/>
    </x:row>
    <x:row r="35" spans="1:14" ht="20.100000000000001" customHeight="1">
      <x:c r="A35" s="299"/>
      <x:c r="B35" s="3" t="s">
        <x:v>1304</x:v>
      </x:c>
      <x:c r="C35" s="3" t="s">
        <x:v>167</x:v>
      </x:c>
      <x:c r="D35" s="4">
        <x:v>262000</x:v>
      </x:c>
      <x:c r="E35" s="4">
        <x:f>+INT(D35*0.1)</x:f>
        <x:v>26200</x:v>
      </x:c>
      <x:c r="F35" s="5">
        <x:f t="shared" si="4"/>
        <x:v>288200</x:v>
      </x:c>
      <x:c r="G35" s="146"/>
      <x:c r="H35" s="299"/>
      <x:c r="I35" s="3"/>
      <x:c r="J35" s="3"/>
      <x:c r="K35" s="4"/>
      <x:c r="L35" s="4">
        <x:f>+K35*0.1</x:f>
        <x:v>0</x:v>
      </x:c>
      <x:c r="M35" s="5">
        <x:f t="shared" si="5"/>
        <x:v>0</x:v>
      </x:c>
      <x:c r="N35" s="6"/>
    </x:row>
    <x:row r="36" spans="1:14" ht="20.100000000000001" customHeight="1">
      <x:c r="A36" s="299"/>
      <x:c r="B36" s="3"/>
      <x:c r="C36" s="3"/>
      <x:c r="D36" s="4"/>
      <x:c r="E36" s="4"/>
      <x:c r="F36" s="5">
        <x:f t="shared" si="4"/>
        <x:v>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</x:row>
    <x:row r="37" spans="1:14" ht="20.100000000000001" customHeight="1">
      <x:c r="A37" s="300"/>
      <x:c r="B37" s="3"/>
      <x:c r="C37" s="3"/>
      <x:c r="D37" s="4"/>
      <x:c r="E37" s="4"/>
      <x:c r="F37" s="5">
        <x:f t="shared" si="4"/>
        <x:v>0</x:v>
      </x:c>
      <x:c r="G37" s="6"/>
      <x:c r="H37" s="300"/>
      <x:c r="I37" s="3"/>
      <x:c r="J37" s="3"/>
      <x:c r="K37" s="4"/>
      <x:c r="L37" s="4"/>
      <x:c r="M37" s="5">
        <x:f t="shared" si="5"/>
        <x:v>0</x:v>
      </x:c>
      <x:c r="N37" s="6"/>
    </x:row>
    <x:row r="38" spans="1:14" ht="20.100000000000001" customHeight="1">
      <x:c r="A38" s="7" t="s">
        <x:v>155</x:v>
      </x:c>
      <x:c r="B38" s="8"/>
      <x:c r="C38" s="8"/>
      <x:c r="D38" s="9">
        <x:f>SUM(D28:D37)</x:f>
        <x:v>3646769</x:v>
      </x:c>
      <x:c r="E38" s="9">
        <x:f>SUM(E28:E37)</x:f>
        <x:v>163481</x:v>
      </x:c>
      <x:c r="F38" s="10">
        <x:f>SUM(F28:F37)</x:f>
        <x:v>3810250</x:v>
      </x:c>
      <x:c r="G38" s="11"/>
      <x:c r="H38" s="7"/>
      <x:c r="I38" s="8"/>
      <x:c r="J38" s="8"/>
      <x:c r="K38" s="9">
        <x:f>SUM(K28:K37)</x:f>
        <x:v>4377013</x:v>
      </x:c>
      <x:c r="L38" s="9">
        <x:f>SUM(L28:L37)</x:f>
        <x:v>340737</x:v>
      </x:c>
      <x:c r="M38" s="10">
        <x:f>SUM(M28:M37)</x:f>
        <x:v>4717750</x:v>
      </x:c>
      <x:c r="N38" s="11"/>
    </x:row>
    <x:row r="39" spans="1:14" ht="20.100000000000001" customHeight="1">
      <x:c r="A39" s="12" t="s">
        <x:v>1690</x:v>
      </x:c>
      <x:c r="B39" s="13"/>
      <x:c r="C39" s="13"/>
      <x:c r="D39" s="14">
        <x:f>+D17+D22+D27+D38</x:f>
        <x:v>147129789</x:v>
      </x:c>
      <x:c r="E39" s="14">
        <x:f>+E17+E22+E27+E38</x:f>
        <x:v>7948383</x:v>
      </x:c>
      <x:c r="F39" s="15">
        <x:f>+F17+F22+F27+F38</x:f>
        <x:v>155078172</x:v>
      </x:c>
      <x:c r="G39" s="16"/>
      <x:c r="H39" s="12"/>
      <x:c r="I39" s="13"/>
      <x:c r="J39" s="13"/>
      <x:c r="K39" s="14">
        <x:f>+K17+K22+K27+K38</x:f>
        <x:v>63061113</x:v>
      </x:c>
      <x:c r="L39" s="14">
        <x:f>+L17+L22+L27+L38</x:f>
        <x:v>3963147</x:v>
      </x:c>
      <x:c r="M39" s="15">
        <x:f>+M17+M22+M27+M38</x:f>
        <x:v>67024260</x:v>
      </x:c>
      <x:c r="N39" s="16"/>
    </x:row>
    <x:row r="40" spans="1:14" ht="20.100000000000001" customHeight="1">
      <x:c r="A40" s="23" t="s">
        <x:v>35</x:v>
      </x:c>
      <x:c r="B40" s="24"/>
      <x:c r="C40" s="24"/>
      <x:c r="D40" s="25">
        <x:f>+D4-D39</x:f>
        <x:v>7917211</x:v>
      </x:c>
      <x:c r="E40" s="25">
        <x:f>+E4-E39</x:f>
        <x:v>-2995383</x:v>
      </x:c>
      <x:c r="F40" s="26">
        <x:f>+F4-F39</x:f>
        <x:v>4921828</x:v>
      </x:c>
      <x:c r="G40" s="27"/>
      <x:c r="H40" s="23"/>
      <x:c r="I40" s="24"/>
      <x:c r="J40" s="24"/>
      <x:c r="K40" s="25">
        <x:f>+K4-K39</x:f>
        <x:v>27938887</x:v>
      </x:c>
      <x:c r="L40" s="25">
        <x:f>+L4-L39</x:f>
        <x:v>-3763147</x:v>
      </x:c>
      <x:c r="M40" s="26">
        <x:f>+M4-M39</x:f>
        <x:v>24175740</x:v>
      </x:c>
      <x:c r="N40" s="27"/>
    </x:row>
    <x:row r="41" spans="1:14" ht="20.100000000000001" customHeight="1">
      <x:c r="A41" s="302" t="s">
        <x:v>1021</x:v>
      </x:c>
      <x:c r="B41" s="303"/>
      <x:c r="C41" s="303"/>
      <x:c r="D41" s="303"/>
      <x:c r="E41" s="303"/>
      <x:c r="F41" s="304"/>
      <x:c r="G41" s="305"/>
      <x:c r="H41" s="302" t="s">
        <x:v>789</x:v>
      </x:c>
      <x:c r="I41" s="303"/>
      <x:c r="J41" s="303"/>
      <x:c r="K41" s="303"/>
      <x:c r="L41" s="303"/>
      <x:c r="M41" s="304"/>
      <x:c r="N41" s="305"/>
    </x:row>
    <x:row r="42" spans="1:14" ht="20.100000000000001" customHeight="1">
      <x:c r="A42" s="29" t="s">
        <x:v>147</x:v>
      </x:c>
      <x:c r="B42" s="189" t="s">
        <x:v>144</x:v>
      </x:c>
      <x:c r="C42" s="189" t="s">
        <x:v>150</x:v>
      </x:c>
      <x:c r="D42" s="31" t="s">
        <x:v>145</x:v>
      </x:c>
      <x:c r="E42" s="31" t="s">
        <x:v>152</x:v>
      </x:c>
      <x:c r="F42" s="31" t="s">
        <x:v>146</x:v>
      </x:c>
      <x:c r="G42" s="34" t="s">
        <x:v>154</x:v>
      </x:c>
      <x:c r="H42" s="29" t="s">
        <x:v>147</x:v>
      </x:c>
      <x:c r="I42" s="189" t="s">
        <x:v>144</x:v>
      </x:c>
      <x:c r="J42" s="189" t="s">
        <x:v>150</x:v>
      </x:c>
      <x:c r="K42" s="31" t="s">
        <x:v>145</x:v>
      </x:c>
      <x:c r="L42" s="31" t="s">
        <x:v>152</x:v>
      </x:c>
      <x:c r="M42" s="32" t="s">
        <x:v>146</x:v>
      </x:c>
      <x:c r="N42" s="33" t="s">
        <x:v>154</x:v>
      </x:c>
    </x:row>
    <x:row r="43" spans="1:14" ht="20.100000000000001" customHeight="1">
      <x:c r="A43" s="41" t="s">
        <x:v>151</x:v>
      </x:c>
      <x:c r="B43" s="149" t="s">
        <x:v>1679</x:v>
      </x:c>
      <x:c r="C43" s="149" t="s">
        <x:v>1030</x:v>
      </x:c>
      <x:c r="D43" s="150"/>
      <x:c r="E43" s="150"/>
      <x:c r="F43" s="40">
        <x:f>+D43+E43</x:f>
        <x:v>0</x:v>
      </x:c>
      <x:c r="G43" s="42"/>
      <x:c r="H43" s="188" t="s">
        <x:v>151</x:v>
      </x:c>
      <x:c r="I43" s="38" t="s">
        <x:v>1679</x:v>
      </x:c>
      <x:c r="J43" s="38" t="s">
        <x:v>156</x:v>
      </x:c>
      <x:c r="K43" s="39"/>
      <x:c r="L43" s="39">
        <x:f t="shared" ref="L43:L49" si="6">+K43*0.1</x:f>
        <x:v>0</x:v>
      </x:c>
      <x:c r="M43" s="40">
        <x:f t="shared" ref="M43:M51" si="7">+K43+L43</x:f>
        <x:v>0</x:v>
      </x:c>
      <x:c r="N43" s="18"/>
    </x:row>
    <x:row r="44" spans="1:14" ht="20.100000000000001" customHeight="1">
      <x:c r="A44" s="298" t="s">
        <x:v>148</x:v>
      </x:c>
      <x:c r="B44" s="147" t="s">
        <x:v>867</x:v>
      </x:c>
      <x:c r="C44" s="147"/>
      <x:c r="D44" s="148"/>
      <x:c r="E44" s="148">
        <x:f>D44*0.1</x:f>
        <x:v>0</x:v>
      </x:c>
      <x:c r="F44" s="21">
        <x:f t="shared" ref="F44:F52" si="8">+D44+E44</x:f>
        <x:v>0</x:v>
      </x:c>
      <x:c r="G44" s="22"/>
      <x:c r="H44" s="298" t="s">
        <x:v>148</x:v>
      </x:c>
      <x:c r="I44" s="54" t="s">
        <x:v>867</x:v>
      </x:c>
      <x:c r="J44" s="54" t="s">
        <x:v>391</x:v>
      </x:c>
      <x:c r="K44" s="93">
        <x:v>300000</x:v>
      </x:c>
      <x:c r="L44" s="93">
        <x:f t="shared" si="6"/>
        <x:v>30000</x:v>
      </x:c>
      <x:c r="M44" s="94">
        <x:f t="shared" si="7"/>
        <x:v>330000</x:v>
      </x:c>
      <x:c r="N44" s="95"/>
    </x:row>
    <x:row r="45" spans="1:14" ht="20.100000000000001" customHeight="1">
      <x:c r="A45" s="299"/>
      <x:c r="B45" s="3" t="s">
        <x:v>838</x:v>
      </x:c>
      <x:c r="C45" s="3"/>
      <x:c r="D45" s="4"/>
      <x:c r="E45" s="4">
        <x:f t="shared" ref="E45:E51" si="9">+D45*0.1</x:f>
        <x:v>0</x:v>
      </x:c>
      <x:c r="F45" s="5">
        <x:f t="shared" si="8"/>
        <x:v>0</x:v>
      </x:c>
      <x:c r="G45" s="6"/>
      <x:c r="H45" s="299"/>
      <x:c r="I45" s="162" t="s">
        <x:v>840</x:v>
      </x:c>
      <x:c r="J45" s="162"/>
      <x:c r="K45" s="163"/>
      <x:c r="L45" s="163">
        <x:f t="shared" si="6"/>
        <x:v>0</x:v>
      </x:c>
      <x:c r="M45" s="164">
        <x:f t="shared" si="7"/>
        <x:v>0</x:v>
      </x:c>
      <x:c r="N45" s="158"/>
    </x:row>
    <x:row r="46" spans="1:14" ht="20.100000000000001" customHeight="1">
      <x:c r="A46" s="299"/>
      <x:c r="B46" s="3" t="s">
        <x:v>1058</x:v>
      </x:c>
      <x:c r="C46" s="3"/>
      <x:c r="D46" s="4"/>
      <x:c r="E46" s="4">
        <x:f t="shared" si="9"/>
        <x:v>0</x:v>
      </x:c>
      <x:c r="F46" s="5">
        <x:f t="shared" si="8"/>
        <x:v>0</x:v>
      </x:c>
      <x:c r="G46" s="6"/>
      <x:c r="H46" s="299"/>
      <x:c r="I46" s="3" t="s">
        <x:v>838</x:v>
      </x:c>
      <x:c r="J46" s="3" t="s">
        <x:v>475</x:v>
      </x:c>
      <x:c r="K46" s="4">
        <x:v>158080</x:v>
      </x:c>
      <x:c r="L46" s="4">
        <x:f t="shared" si="6"/>
        <x:v>15808</x:v>
      </x:c>
      <x:c r="M46" s="5">
        <x:f>+K46+L46</x:f>
        <x:v>173888</x:v>
      </x:c>
      <x:c r="N46" s="6"/>
    </x:row>
    <x:row r="47" spans="1:14" ht="20.100000000000001" customHeight="1">
      <x:c r="A47" s="299"/>
      <x:c r="B47" s="3" t="s">
        <x:v>967</x:v>
      </x:c>
      <x:c r="C47" s="3"/>
      <x:c r="D47" s="4"/>
      <x:c r="E47" s="4">
        <x:f t="shared" si="9"/>
        <x:v>0</x:v>
      </x:c>
      <x:c r="F47" s="5">
        <x:f t="shared" si="8"/>
        <x:v>0</x:v>
      </x:c>
      <x:c r="G47" s="6"/>
      <x:c r="H47" s="299"/>
      <x:c r="I47" s="3" t="s">
        <x:v>1119</x:v>
      </x:c>
      <x:c r="J47" s="3" t="s">
        <x:v>1386</x:v>
      </x:c>
      <x:c r="K47" s="4">
        <x:v>2251000</x:v>
      </x:c>
      <x:c r="L47" s="4">
        <x:f t="shared" si="6"/>
        <x:v>225100</x:v>
      </x:c>
      <x:c r="M47" s="5">
        <x:f>+K47+L47</x:f>
        <x:v>2476100</x:v>
      </x:c>
      <x:c r="N47" s="6"/>
    </x:row>
    <x:row r="48" spans="1:14" ht="20.100000000000001" customHeight="1">
      <x:c r="A48" s="299"/>
      <x:c r="B48" s="3" t="s">
        <x:v>854</x:v>
      </x:c>
      <x:c r="C48" s="3" t="s">
        <x:v>476</x:v>
      </x:c>
      <x:c r="D48" s="4">
        <x:v>95880</x:v>
      </x:c>
      <x:c r="E48" s="4">
        <x:f t="shared" si="9"/>
        <x:v>9588</x:v>
      </x:c>
      <x:c r="F48" s="5">
        <x:f t="shared" si="8"/>
        <x:v>105468</x:v>
      </x:c>
      <x:c r="G48" s="6"/>
      <x:c r="H48" s="299"/>
      <x:c r="I48" s="3" t="s">
        <x:v>938</x:v>
      </x:c>
      <x:c r="J48" s="3"/>
      <x:c r="K48" s="4"/>
      <x:c r="L48" s="4">
        <x:f t="shared" si="6"/>
        <x:v>0</x:v>
      </x:c>
      <x:c r="M48" s="5">
        <x:f t="shared" si="7"/>
        <x:v>0</x:v>
      </x:c>
      <x:c r="N48" s="6" t="s">
        <x:v>1344</x:v>
      </x:c>
    </x:row>
    <x:row r="49" spans="1:14" ht="20.100000000000001" customHeight="1">
      <x:c r="A49" s="299"/>
      <x:c r="B49" s="3" t="s">
        <x:v>846</x:v>
      </x:c>
      <x:c r="C49" s="3"/>
      <x:c r="D49" s="4"/>
      <x:c r="E49" s="4">
        <x:f t="shared" si="9"/>
        <x:v>0</x:v>
      </x:c>
      <x:c r="F49" s="5">
        <x:f t="shared" si="8"/>
        <x:v>0</x:v>
      </x:c>
      <x:c r="G49" s="6"/>
      <x:c r="H49" s="299"/>
      <x:c r="I49" s="3" t="s">
        <x:v>846</x:v>
      </x:c>
      <x:c r="J49" s="3" t="s">
        <x:v>1357</x:v>
      </x:c>
      <x:c r="K49" s="4">
        <x:v>2464950</x:v>
      </x:c>
      <x:c r="L49" s="4">
        <x:f t="shared" si="6"/>
        <x:v>246495</x:v>
      </x:c>
      <x:c r="M49" s="5">
        <x:f t="shared" si="7"/>
        <x:v>2711445</x:v>
      </x:c>
      <x:c r="N49" s="6"/>
    </x:row>
    <x:row r="50" spans="1:14" ht="20.100000000000001" customHeight="1">
      <x:c r="A50" s="299"/>
      <x:c r="B50" s="3"/>
      <x:c r="C50" s="3"/>
      <x:c r="D50" s="4"/>
      <x:c r="E50" s="4">
        <x:f t="shared" si="9"/>
        <x:v>0</x:v>
      </x:c>
      <x:c r="F50" s="5">
        <x:f t="shared" si="8"/>
        <x:v>0</x:v>
      </x:c>
      <x:c r="G50" s="6"/>
      <x:c r="H50" s="299"/>
      <x:c r="I50" s="3"/>
      <x:c r="J50" s="3"/>
      <x:c r="K50" s="4"/>
      <x:c r="L50" s="4">
        <x:f>+INT(K50*0.1)</x:f>
        <x:v>0</x:v>
      </x:c>
      <x:c r="M50" s="5">
        <x:f t="shared" si="7"/>
        <x:v>0</x:v>
      </x:c>
      <x:c r="N50" s="6"/>
    </x:row>
    <x:row r="51" spans="1:14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/>
      <x:c r="J51" s="3"/>
      <x:c r="K51" s="4"/>
      <x:c r="L51" s="4">
        <x:f>+INT(K51*0.1)</x:f>
        <x:v>0</x:v>
      </x:c>
      <x:c r="M51" s="5">
        <x:f t="shared" si="7"/>
        <x:v>0</x:v>
      </x:c>
      <x:c r="N51" s="6"/>
    </x:row>
    <x:row r="52" spans="1:14" ht="20.100000000000001" customHeight="1">
      <x:c r="A52" s="299"/>
      <x:c r="B52" s="3"/>
      <x:c r="C52" s="3"/>
      <x:c r="D52" s="4"/>
      <x:c r="E52" s="4">
        <x:f>+INT(D52*0.1)</x:f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/>
      <x:c r="M52" s="5"/>
      <x:c r="N52" s="6"/>
    </x:row>
    <x:row r="53" spans="1:14" ht="20.100000000000001" customHeight="1">
      <x:c r="A53" s="299"/>
      <x:c r="B53" s="3"/>
      <x:c r="C53" s="3"/>
      <x:c r="D53" s="4"/>
      <x:c r="E53" s="4"/>
      <x:c r="F53" s="5"/>
      <x:c r="G53" s="6"/>
      <x:c r="H53" s="299"/>
      <x:c r="I53" s="3"/>
      <x:c r="J53" s="3"/>
      <x:c r="K53" s="4"/>
      <x:c r="L53" s="4">
        <x:f t="shared" ref="L53:L58" si="10">+INT(K53*0.1)</x:f>
        <x:v>0</x:v>
      </x:c>
      <x:c r="M53" s="5">
        <x:f t="shared" ref="M53:M58" si="11">+K53+L53</x:f>
        <x:v>0</x:v>
      </x:c>
      <x:c r="N53" s="6"/>
    </x:row>
    <x:row r="54" spans="1:14" ht="20.100000000000001" customHeight="1">
      <x:c r="A54" s="299"/>
      <x:c r="B54" s="3"/>
      <x:c r="C54" s="3"/>
      <x:c r="D54" s="4"/>
      <x:c r="E54" s="4"/>
      <x:c r="F54" s="5"/>
      <x:c r="G54" s="6"/>
      <x:c r="H54" s="299"/>
      <x:c r="I54" s="3"/>
      <x:c r="J54" s="3"/>
      <x:c r="K54" s="4"/>
      <x:c r="L54" s="4">
        <x:f t="shared" si="10"/>
        <x:v>0</x:v>
      </x:c>
      <x:c r="M54" s="5">
        <x:f t="shared" si="11"/>
        <x:v>0</x:v>
      </x:c>
      <x:c r="N54" s="6"/>
    </x:row>
    <x:row r="55" spans="1:14" ht="20.100000000000001" customHeight="1">
      <x:c r="A55" s="299"/>
      <x:c r="B55" s="129"/>
      <x:c r="C55" s="129"/>
      <x:c r="D55" s="4"/>
      <x:c r="E55" s="4">
        <x:f>+D55*0.1</x:f>
        <x:v>0</x:v>
      </x:c>
      <x:c r="F55" s="5">
        <x:f>+D55+E55</x:f>
        <x:v>0</x:v>
      </x:c>
      <x:c r="G55" s="6"/>
      <x:c r="H55" s="299"/>
      <x:c r="I55" s="3"/>
      <x:c r="J55" s="3"/>
      <x:c r="K55" s="4"/>
      <x:c r="L55" s="4">
        <x:f t="shared" si="10"/>
        <x:v>0</x:v>
      </x:c>
      <x:c r="M55" s="5">
        <x:f t="shared" si="11"/>
        <x:v>0</x:v>
      </x:c>
      <x:c r="N55" s="6"/>
    </x:row>
    <x:row r="56" spans="1:14" ht="20.100000000000001" customHeight="1">
      <x:c r="A56" s="299"/>
      <x:c r="B56" s="129"/>
      <x:c r="C56" s="129"/>
      <x:c r="D56" s="130"/>
      <x:c r="E56" s="130">
        <x:f>+INT(D56*0.1)</x:f>
        <x:v>0</x:v>
      </x:c>
      <x:c r="F56" s="5">
        <x:f>+D56+E56</x:f>
        <x:v>0</x:v>
      </x:c>
      <x:c r="G56" s="6"/>
      <x:c r="H56" s="299"/>
      <x:c r="I56" s="3"/>
      <x:c r="J56" s="3"/>
      <x:c r="K56" s="4"/>
      <x:c r="L56" s="4">
        <x:f t="shared" si="10"/>
        <x:v>0</x:v>
      </x:c>
      <x:c r="M56" s="5">
        <x:f t="shared" si="11"/>
        <x:v>0</x:v>
      </x:c>
      <x:c r="N56" s="6"/>
    </x:row>
    <x:row r="57" spans="1:14" ht="20.100000000000001" customHeight="1">
      <x:c r="A57" s="299"/>
      <x:c r="B57" s="3"/>
      <x:c r="C57" s="3"/>
      <x:c r="D57" s="4"/>
      <x:c r="E57" s="4">
        <x:f>+D57*0.1</x:f>
        <x:v>0</x:v>
      </x:c>
      <x:c r="F57" s="131">
        <x:f>+D57+E57</x:f>
        <x:v>0</x:v>
      </x:c>
      <x:c r="G57" s="6"/>
      <x:c r="H57" s="299"/>
      <x:c r="I57" s="3"/>
      <x:c r="J57" s="3"/>
      <x:c r="K57" s="4"/>
      <x:c r="L57" s="4">
        <x:f t="shared" si="10"/>
        <x:v>0</x:v>
      </x:c>
      <x:c r="M57" s="5">
        <x:f t="shared" si="11"/>
        <x:v>0</x:v>
      </x:c>
      <x:c r="N57" s="6"/>
    </x:row>
    <x:row r="58" spans="1:14" ht="20.100000000000001" customHeight="1">
      <x:c r="A58" s="299"/>
      <x:c r="B58" s="3"/>
      <x:c r="C58" s="3"/>
      <x:c r="D58" s="4"/>
      <x:c r="E58" s="4">
        <x:f>+D58*0.1</x:f>
        <x:v>0</x:v>
      </x:c>
      <x:c r="F58" s="5">
        <x:f>+D58+E58</x:f>
        <x:v>0</x:v>
      </x:c>
      <x:c r="G58" s="132"/>
      <x:c r="H58" s="299"/>
      <x:c r="I58" s="3"/>
      <x:c r="J58" s="3"/>
      <x:c r="K58" s="4"/>
      <x:c r="L58" s="4">
        <x:f t="shared" si="10"/>
        <x:v>0</x:v>
      </x:c>
      <x:c r="M58" s="5">
        <x:f t="shared" si="11"/>
        <x:v>0</x:v>
      </x:c>
      <x:c r="N58" s="6"/>
    </x:row>
    <x:row r="59" spans="1:14" ht="20.100000000000001" customHeight="1">
      <x:c r="A59" s="299"/>
      <x:c r="B59" s="129"/>
      <x:c r="C59" s="129"/>
      <x:c r="D59" s="4"/>
      <x:c r="E59" s="4">
        <x:f>+D59*0.1</x:f>
        <x:v>0</x:v>
      </x:c>
      <x:c r="F59" s="5">
        <x:f>+D59+E59</x:f>
        <x:v>0</x:v>
      </x:c>
      <x:c r="G59" s="6"/>
      <x:c r="H59" s="300"/>
      <x:c r="I59" s="3"/>
      <x:c r="J59" s="3"/>
      <x:c r="K59" s="4"/>
      <x:c r="L59" s="4"/>
      <x:c r="M59" s="5"/>
      <x:c r="N59" s="6"/>
    </x:row>
    <x:row r="60" spans="1:14" ht="20.100000000000001" customHeight="1">
      <x:c r="A60" s="7"/>
      <x:c r="B60" s="8"/>
      <x:c r="C60" s="8"/>
      <x:c r="D60" s="9">
        <x:f>SUM(D44:D59)</x:f>
        <x:v>95880</x:v>
      </x:c>
      <x:c r="E60" s="9">
        <x:f>SUM(E44:E59)</x:f>
        <x:v>9588</x:v>
      </x:c>
      <x:c r="F60" s="10">
        <x:f>SUM(F44:F59)</x:f>
        <x:v>105468</x:v>
      </x:c>
      <x:c r="G60" s="11"/>
      <x:c r="H60" s="7" t="s">
        <x:v>155</x:v>
      </x:c>
      <x:c r="I60" s="8"/>
      <x:c r="J60" s="8"/>
      <x:c r="K60" s="9">
        <x:f>SUM(K44:K59)</x:f>
        <x:v>5174030</x:v>
      </x:c>
      <x:c r="L60" s="9">
        <x:f>SUM(L44:L59)</x:f>
        <x:v>517403</x:v>
      </x:c>
      <x:c r="M60" s="10">
        <x:f>SUM(M44:M59)</x:f>
        <x:v>5691433</x:v>
      </x:c>
      <x:c r="N60" s="11"/>
    </x:row>
    <x:row r="61" spans="1:14" ht="20.100000000000001" customHeight="1">
      <x:c r="A61" s="301" t="s">
        <x:v>153</x:v>
      </x:c>
      <x:c r="B61" s="3" t="s">
        <x:v>1677</x:v>
      </x:c>
      <x:c r="C61" s="3" t="s">
        <x:v>1129</x:v>
      </x:c>
      <x:c r="D61" s="4">
        <x:v>9020000</x:v>
      </x:c>
      <x:c r="E61" s="4"/>
      <x:c r="F61" s="5">
        <x:f>+D61+E61</x:f>
        <x:v>9020000</x:v>
      </x:c>
      <x:c r="G61" s="6"/>
      <x:c r="H61" s="301" t="s">
        <x:v>153</x:v>
      </x:c>
      <x:c r="I61" s="3" t="s">
        <x:v>1677</x:v>
      </x:c>
      <x:c r="J61" s="3" t="s">
        <x:v>1308</x:v>
      </x:c>
      <x:c r="K61" s="44">
        <x:v>13900000</x:v>
      </x:c>
      <x:c r="L61" s="44"/>
      <x:c r="M61" s="45">
        <x:f>+K61+L61</x:f>
        <x:v>13900000</x:v>
      </x:c>
      <x:c r="N61" s="37"/>
    </x:row>
    <x:row r="62" spans="1:14" ht="20.100000000000001" customHeight="1">
      <x:c r="A62" s="299"/>
      <x:c r="B62" s="3"/>
      <x:c r="C62" s="3"/>
      <x:c r="D62" s="4"/>
      <x:c r="E62" s="4"/>
      <x:c r="F62" s="5">
        <x:f>+D62+E62</x:f>
        <x:v>0</x:v>
      </x:c>
      <x:c r="G62" s="6"/>
      <x:c r="H62" s="299"/>
      <x:c r="I62" s="3" t="s">
        <x:v>960</x:v>
      </x:c>
      <x:c r="J62" s="3" t="s">
        <x:v>950</x:v>
      </x:c>
      <x:c r="K62" s="44">
        <x:v>2500000</x:v>
      </x:c>
      <x:c r="L62" s="44">
        <x:f>+K62*0.1</x:f>
        <x:v>250000</x:v>
      </x:c>
      <x:c r="M62" s="45">
        <x:f>+K62+L62</x:f>
        <x:v>2750000</x:v>
      </x:c>
      <x:c r="N62" s="37"/>
    </x:row>
    <x:row r="63" spans="1:14" ht="20.100000000000001" customHeight="1">
      <x:c r="A63" s="299"/>
      <x:c r="B63" s="3"/>
      <x:c r="C63" s="3"/>
      <x:c r="D63" s="4"/>
      <x:c r="E63" s="4">
        <x:f>+D63*0.1</x:f>
        <x:v>0</x:v>
      </x:c>
      <x:c r="F63" s="5">
        <x:f>+D63+E63</x:f>
        <x:v>0</x:v>
      </x:c>
      <x:c r="G63" s="6"/>
      <x:c r="H63" s="299"/>
      <x:c r="I63" s="3"/>
      <x:c r="J63" s="3"/>
      <x:c r="K63" s="4"/>
      <x:c r="L63" s="4">
        <x:f>+K63*0.1</x:f>
        <x:v>0</x:v>
      </x:c>
      <x:c r="M63" s="5">
        <x:f>+K63+L63</x:f>
        <x:v>0</x:v>
      </x:c>
      <x:c r="N63" s="6"/>
    </x:row>
    <x:row r="64" spans="1:14" ht="20.100000000000001" customHeight="1">
      <x:c r="A64" s="300"/>
      <x:c r="B64" s="3"/>
      <x:c r="C64" s="3"/>
      <x:c r="D64" s="4"/>
      <x:c r="E64" s="4">
        <x:f>+D64*0.1</x:f>
        <x:v>0</x:v>
      </x:c>
      <x:c r="F64" s="5">
        <x:f>+D64+E64</x:f>
        <x:v>0</x:v>
      </x:c>
      <x:c r="G64" s="6"/>
      <x:c r="H64" s="300"/>
      <x:c r="I64" s="3"/>
      <x:c r="J64" s="3"/>
      <x:c r="K64" s="4"/>
      <x:c r="L64" s="4">
        <x:f>+K64*0.1</x:f>
        <x:v>0</x:v>
      </x:c>
      <x:c r="M64" s="5">
        <x:f>+K64+L64</x:f>
        <x:v>0</x:v>
      </x:c>
      <x:c r="N64" s="6"/>
    </x:row>
    <x:row r="65" spans="1:14" ht="20.100000000000001" customHeight="1">
      <x:c r="A65" s="7"/>
      <x:c r="B65" s="8"/>
      <x:c r="C65" s="8"/>
      <x:c r="D65" s="9">
        <x:f>SUM(D61:D64)</x:f>
        <x:v>9020000</x:v>
      </x:c>
      <x:c r="E65" s="9">
        <x:f>SUM(E61:E64)</x:f>
        <x:v>0</x:v>
      </x:c>
      <x:c r="F65" s="10">
        <x:f>SUM(F61:F64)</x:f>
        <x:v>9020000</x:v>
      </x:c>
      <x:c r="G65" s="11"/>
      <x:c r="H65" s="7" t="s">
        <x:v>155</x:v>
      </x:c>
      <x:c r="I65" s="8"/>
      <x:c r="J65" s="8"/>
      <x:c r="K65" s="9">
        <x:f>SUM(K61:K64)</x:f>
        <x:v>16400000</x:v>
      </x:c>
      <x:c r="L65" s="9">
        <x:f>SUM(L61:L64)</x:f>
        <x:v>250000</x:v>
      </x:c>
      <x:c r="M65" s="10">
        <x:f>SUM(M61:M64)</x:f>
        <x:v>16650000</x:v>
      </x:c>
      <x:c r="N65" s="11"/>
    </x:row>
    <x:row r="66" spans="1:14" ht="20.100000000000001" customHeight="1">
      <x:c r="A66" s="301" t="s">
        <x:v>187</x:v>
      </x:c>
      <x:c r="B66" s="3" t="s">
        <x:v>1124</x:v>
      </x:c>
      <x:c r="C66" s="3" t="s">
        <x:v>1006</x:v>
      </x:c>
      <x:c r="D66" s="4"/>
      <x:c r="E66" s="4">
        <x:f>+D66*0.1</x:f>
        <x:v>0</x:v>
      </x:c>
      <x:c r="F66" s="5">
        <x:f>+D66+E66</x:f>
        <x:v>0</x:v>
      </x:c>
      <x:c r="G66" s="6" t="s">
        <x:v>1259</x:v>
      </x:c>
      <x:c r="H66" s="301" t="s">
        <x:v>187</x:v>
      </x:c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</x:row>
    <x:row r="67" spans="1:14" ht="20.100000000000001" customHeight="1">
      <x:c r="A67" s="299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299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</x:row>
    <x:row r="68" spans="1:14" ht="20.100000000000001" customHeight="1">
      <x:c r="A68" s="299"/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299"/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</x:row>
    <x:row r="69" spans="1:14" ht="20.100000000000001" customHeight="1">
      <x:c r="A69" s="300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300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</x:row>
    <x:row r="70" spans="1:14" ht="20.100000000000001" customHeight="1">
      <x:c r="A70" s="7"/>
      <x:c r="B70" s="8"/>
      <x:c r="C70" s="8"/>
      <x:c r="D70" s="9">
        <x:f>SUM(D66:D69)</x:f>
        <x:v>0</x:v>
      </x:c>
      <x:c r="E70" s="9">
        <x:f>SUM(E66:E69)</x:f>
        <x:v>0</x:v>
      </x:c>
      <x:c r="F70" s="10">
        <x:f>SUM(F66:F69)</x:f>
        <x:v>0</x:v>
      </x:c>
      <x:c r="G70" s="11"/>
      <x:c r="H70" s="7" t="s">
        <x:v>155</x:v>
      </x:c>
      <x:c r="I70" s="8"/>
      <x:c r="J70" s="8"/>
      <x:c r="K70" s="9">
        <x:f>SUM(K66:K69)</x:f>
        <x:v>0</x:v>
      </x:c>
      <x:c r="L70" s="9">
        <x:f>SUM(L66:L69)</x:f>
        <x:v>0</x:v>
      </x:c>
      <x:c r="M70" s="10">
        <x:f>SUM(M66:M69)</x:f>
        <x:v>0</x:v>
      </x:c>
      <x:c r="N70" s="11"/>
    </x:row>
    <x:row r="71" spans="1:14" ht="20.100000000000001" customHeight="1">
      <x:c r="A71" s="301" t="s">
        <x:v>149</x:v>
      </x:c>
      <x:c r="B71" s="3" t="s">
        <x:v>158</x:v>
      </x:c>
      <x:c r="C71" s="3" t="s">
        <x:v>837</x:v>
      </x:c>
      <x:c r="D71" s="4">
        <x:v>512720</x:v>
      </x:c>
      <x:c r="E71" s="4"/>
      <x:c r="F71" s="5">
        <x:f t="shared" ref="F71:F77" si="12">+D71+E71</x:f>
        <x:v>512720</x:v>
      </x:c>
      <x:c r="G71" s="6"/>
      <x:c r="H71" s="301" t="s">
        <x:v>149</x:v>
      </x:c>
      <x:c r="I71" s="3" t="s">
        <x:v>248</x:v>
      </x:c>
      <x:c r="J71" s="3" t="s">
        <x:v>149</x:v>
      </x:c>
      <x:c r="K71" s="4"/>
      <x:c r="L71" s="4"/>
      <x:c r="M71" s="5">
        <x:f>+K71+L71</x:f>
        <x:v>0</x:v>
      </x:c>
      <x:c r="N71" s="6"/>
    </x:row>
    <x:row r="72" spans="1:14" ht="20.100000000000001" customHeight="1">
      <x:c r="A72" s="299"/>
      <x:c r="B72" s="3" t="s">
        <x:v>947</x:v>
      </x:c>
      <x:c r="C72" s="3" t="s">
        <x:v>914</x:v>
      </x:c>
      <x:c r="D72" s="4">
        <x:v>50000</x:v>
      </x:c>
      <x:c r="E72" s="4">
        <x:f>+D72*0.1</x:f>
        <x:v>5000</x:v>
      </x:c>
      <x:c r="F72" s="5">
        <x:f t="shared" si="12"/>
        <x:v>55000</x:v>
      </x:c>
      <x:c r="G72" s="6" t="s">
        <x:v>266</x:v>
      </x:c>
      <x:c r="H72" s="299"/>
      <x:c r="I72" s="3" t="s">
        <x:v>248</x:v>
      </x:c>
      <x:c r="J72" s="3" t="s">
        <x:v>1312</x:v>
      </x:c>
      <x:c r="K72" s="4">
        <x:v>297638</x:v>
      </x:c>
      <x:c r="L72" s="4">
        <x:v>29762</x:v>
      </x:c>
      <x:c r="M72" s="5">
        <x:f>+K72+L72</x:f>
        <x:v>327400</x:v>
      </x:c>
      <x:c r="N72" s="6"/>
    </x:row>
    <x:row r="73" spans="1:14" ht="20.100000000000001" customHeight="1">
      <x:c r="A73" s="299"/>
      <x:c r="B73" s="3" t="s">
        <x:v>1047</x:v>
      </x:c>
      <x:c r="C73" s="3" t="s">
        <x:v>962</x:v>
      </x:c>
      <x:c r="D73" s="4">
        <x:v>240000</x:v>
      </x:c>
      <x:c r="E73" s="4">
        <x:f>+D73*0.1</x:f>
        <x:v>24000</x:v>
      </x:c>
      <x:c r="F73" s="5">
        <x:f t="shared" si="12"/>
        <x:v>264000</x:v>
      </x:c>
      <x:c r="G73" s="6"/>
      <x:c r="H73" s="299"/>
      <x:c r="I73" s="3" t="s">
        <x:v>284</x:v>
      </x:c>
      <x:c r="J73" s="3" t="s">
        <x:v>149</x:v>
      </x:c>
      <x:c r="K73" s="4">
        <x:v>82000</x:v>
      </x:c>
      <x:c r="L73" s="4"/>
      <x:c r="M73" s="5">
        <x:f t="shared" ref="M73:M80" si="13">+K73+L73</x:f>
        <x:v>82000</x:v>
      </x:c>
      <x:c r="N73" s="6"/>
    </x:row>
    <x:row r="74" spans="1:14" ht="20.100000000000001" customHeight="1">
      <x:c r="A74" s="299"/>
      <x:c r="B74" s="3" t="s">
        <x:v>1061</x:v>
      </x:c>
      <x:c r="C74" s="3" t="s">
        <x:v>167</x:v>
      </x:c>
      <x:c r="D74" s="4"/>
      <x:c r="E74" s="4">
        <x:f>+D74*0.1</x:f>
        <x:v>0</x:v>
      </x:c>
      <x:c r="F74" s="5">
        <x:f t="shared" si="12"/>
        <x:v>0</x:v>
      </x:c>
      <x:c r="G74" s="6"/>
      <x:c r="H74" s="299"/>
      <x:c r="I74" s="3" t="s">
        <x:v>249</x:v>
      </x:c>
      <x:c r="J74" s="3" t="s">
        <x:v>608</x:v>
      </x:c>
      <x:c r="K74" s="4">
        <x:v>550000</x:v>
      </x:c>
      <x:c r="L74" s="4"/>
      <x:c r="M74" s="5">
        <x:f t="shared" si="13"/>
        <x:v>550000</x:v>
      </x:c>
      <x:c r="N74" s="6"/>
    </x:row>
    <x:row r="75" spans="1:14" ht="20.100000000000001" customHeight="1">
      <x:c r="A75" s="299"/>
      <x:c r="B75" s="3" t="s">
        <x:v>247</x:v>
      </x:c>
      <x:c r="C75" s="3" t="s">
        <x:v>231</x:v>
      </x:c>
      <x:c r="D75" s="4">
        <x:v>21000</x:v>
      </x:c>
      <x:c r="E75" s="4">
        <x:f>+D75*0.1</x:f>
        <x:v>2100</x:v>
      </x:c>
      <x:c r="F75" s="5">
        <x:f t="shared" si="12"/>
        <x:v>23100</x:v>
      </x:c>
      <x:c r="G75" s="6" t="s">
        <x:v>275</x:v>
      </x:c>
      <x:c r="H75" s="299"/>
      <x:c r="I75" s="3" t="s">
        <x:v>947</x:v>
      </x:c>
      <x:c r="J75" s="3" t="s">
        <x:v>914</x:v>
      </x:c>
      <x:c r="K75" s="4">
        <x:v>100000</x:v>
      </x:c>
      <x:c r="L75" s="4">
        <x:f>+K75*0.1</x:f>
        <x:v>10000</x:v>
      </x:c>
      <x:c r="M75" s="5">
        <x:f t="shared" si="13"/>
        <x:v>110000</x:v>
      </x:c>
      <x:c r="N75" s="6"/>
    </x:row>
    <x:row r="76" spans="1:14" ht="20.100000000000001" customHeight="1">
      <x:c r="A76" s="299"/>
      <x:c r="B76" s="3" t="s">
        <x:v>774</x:v>
      </x:c>
      <x:c r="C76" s="3" t="s">
        <x:v>1233</x:v>
      </x:c>
      <x:c r="D76" s="4"/>
      <x:c r="E76" s="4">
        <x:f>+D76*0.1</x:f>
        <x:v>0</x:v>
      </x:c>
      <x:c r="F76" s="5">
        <x:f t="shared" si="12"/>
        <x:v>0</x:v>
      </x:c>
      <x:c r="G76" s="6" t="s">
        <x:v>266</x:v>
      </x:c>
      <x:c r="H76" s="299"/>
      <x:c r="I76" s="3" t="s">
        <x:v>1340</x:v>
      </x:c>
      <x:c r="J76" s="3" t="s">
        <x:v>28</x:v>
      </x:c>
      <x:c r="K76" s="4">
        <x:v>231500</x:v>
      </x:c>
      <x:c r="L76" s="4">
        <x:f>+K76*0.1</x:f>
        <x:v>23150</x:v>
      </x:c>
      <x:c r="M76" s="5">
        <x:f t="shared" si="13"/>
        <x:v>254650</x:v>
      </x:c>
      <x:c r="N76" s="6"/>
    </x:row>
    <x:row r="77" spans="1:14" ht="20.100000000000001" customHeight="1">
      <x:c r="A77" s="299"/>
      <x:c r="B77" s="3" t="s">
        <x:v>247</x:v>
      </x:c>
      <x:c r="C77" s="3" t="s">
        <x:v>231</x:v>
      </x:c>
      <x:c r="D77" s="4">
        <x:f>16936</x:f>
        <x:v>16936</x:v>
      </x:c>
      <x:c r="E77" s="4">
        <x:f>+D77*0.1-1</x:f>
        <x:v>1692.6000000000001</x:v>
      </x:c>
      <x:c r="F77" s="5">
        <x:f t="shared" si="12"/>
        <x:v>18628.599999999999</x:v>
      </x:c>
      <x:c r="G77" s="6" t="s">
        <x:v>285</x:v>
      </x:c>
      <x:c r="H77" s="299"/>
      <x:c r="I77" s="3" t="s">
        <x:v>247</x:v>
      </x:c>
      <x:c r="J77" s="3" t="s">
        <x:v>231</x:v>
      </x:c>
      <x:c r="K77" s="4">
        <x:f>35839+4800</x:f>
        <x:v>40639</x:v>
      </x:c>
      <x:c r="L77" s="4">
        <x:f>+K77*0.1-1</x:f>
        <x:v>4062.9000000000001</x:v>
      </x:c>
      <x:c r="M77" s="5">
        <x:f>+K77+L77</x:f>
        <x:v>44701.900000000001</x:v>
      </x:c>
      <x:c r="N77" s="6"/>
    </x:row>
    <x:row r="78" spans="1:14" ht="20.100000000000001" customHeight="1">
      <x:c r="A78" s="299"/>
      <x:c r="B78" s="3" t="s">
        <x:v>473</x:v>
      </x:c>
      <x:c r="C78" s="3" t="s">
        <x:v>962</x:v>
      </x:c>
      <x:c r="D78" s="4"/>
      <x:c r="E78" s="4">
        <x:f>+D78*0.1</x:f>
        <x:v>0</x:v>
      </x:c>
      <x:c r="F78" s="5">
        <x:f>+D78+E78</x:f>
        <x:v>0</x:v>
      </x:c>
      <x:c r="G78" s="6" t="s">
        <x:v>285</x:v>
      </x:c>
      <x:c r="H78" s="299"/>
      <x:c r="I78" s="3" t="s">
        <x:v>926</x:v>
      </x:c>
      <x:c r="J78" s="3" t="s">
        <x:v>404</x:v>
      </x:c>
      <x:c r="K78" s="4">
        <x:v>385340</x:v>
      </x:c>
      <x:c r="L78" s="4"/>
      <x:c r="M78" s="5">
        <x:f>+K78+L78</x:f>
        <x:v>385340</x:v>
      </x:c>
      <x:c r="N78" s="6"/>
    </x:row>
    <x:row r="79" spans="1:14" ht="20.100000000000001" customHeight="1">
      <x:c r="A79" s="299"/>
      <x:c r="B79" s="3" t="s">
        <x:v>1367</x:v>
      </x:c>
      <x:c r="C79" s="3" t="s">
        <x:v>1370</x:v>
      </x:c>
      <x:c r="D79" s="4">
        <x:v>266500</x:v>
      </x:c>
      <x:c r="E79" s="4"/>
      <x:c r="F79" s="5">
        <x:f>+D79+E79</x:f>
        <x:v>266500</x:v>
      </x:c>
      <x:c r="G79" s="6" t="s">
        <x:v>478</x:v>
      </x:c>
      <x:c r="H79" s="299"/>
      <x:c r="I79" s="3"/>
      <x:c r="J79" s="3"/>
      <x:c r="K79" s="4"/>
      <x:c r="L79" s="4"/>
      <x:c r="M79" s="5">
        <x:f t="shared" si="13"/>
        <x:v>0</x:v>
      </x:c>
      <x:c r="N79" s="6"/>
    </x:row>
    <x:row r="80" spans="1:14" ht="20.100000000000001" customHeight="1">
      <x:c r="A80" s="300"/>
      <x:c r="B80" s="3" t="s">
        <x:v>1367</x:v>
      </x:c>
      <x:c r="C80" s="3" t="s">
        <x:v>1370</x:v>
      </x:c>
      <x:c r="D80" s="4">
        <x:v>60700</x:v>
      </x:c>
      <x:c r="E80" s="4"/>
      <x:c r="F80" s="5">
        <x:f>+D80+E80</x:f>
        <x:v>60700</x:v>
      </x:c>
      <x:c r="G80" s="6" t="s">
        <x:v>478</x:v>
      </x:c>
      <x:c r="H80" s="300"/>
      <x:c r="I80" s="3"/>
      <x:c r="J80" s="3"/>
      <x:c r="K80" s="4"/>
      <x:c r="L80" s="4"/>
      <x:c r="M80" s="5">
        <x:f t="shared" si="13"/>
        <x:v>0</x:v>
      </x:c>
      <x:c r="N80" s="6"/>
    </x:row>
    <x:row r="81" spans="1:14" ht="20.100000000000001" customHeight="1">
      <x:c r="A81" s="7"/>
      <x:c r="B81" s="8"/>
      <x:c r="C81" s="8"/>
      <x:c r="D81" s="9">
        <x:f>SUM(D71:D80)</x:f>
        <x:v>1167856</x:v>
      </x:c>
      <x:c r="E81" s="9">
        <x:f>SUM(E71:E80)</x:f>
        <x:v>32792.599999999999</x:v>
      </x:c>
      <x:c r="F81" s="10">
        <x:f>SUM(F71:F80)</x:f>
        <x:v>1200648.6000000001</x:v>
      </x:c>
      <x:c r="G81" s="11"/>
      <x:c r="H81" s="7" t="s">
        <x:v>155</x:v>
      </x:c>
      <x:c r="I81" s="8"/>
      <x:c r="J81" s="8"/>
      <x:c r="K81" s="9">
        <x:f>SUM(K71:K80)</x:f>
        <x:v>1687117</x:v>
      </x:c>
      <x:c r="L81" s="9">
        <x:f>SUM(L71:L80)</x:f>
        <x:v>66974.899999999994</x:v>
      </x:c>
      <x:c r="M81" s="10">
        <x:f>SUM(M71:M80)</x:f>
        <x:v>1754091.8999999999</x:v>
      </x:c>
      <x:c r="N81" s="11"/>
    </x:row>
    <x:row r="82" spans="1:14" ht="20.100000000000001" customHeight="1">
      <x:c r="A82" s="12" t="s">
        <x:v>1690</x:v>
      </x:c>
      <x:c r="B82" s="13"/>
      <x:c r="C82" s="13"/>
      <x:c r="D82" s="14">
        <x:f>+D60+D65+D70+D81</x:f>
        <x:v>10283736</x:v>
      </x:c>
      <x:c r="E82" s="14">
        <x:f>+E60+E65+E70+E81</x:f>
        <x:v>42380.599999999999</x:v>
      </x:c>
      <x:c r="F82" s="15">
        <x:f>+F60+F65+F70+F81</x:f>
        <x:v>10326116.6</x:v>
      </x:c>
      <x:c r="G82" s="16"/>
      <x:c r="H82" s="12" t="s">
        <x:v>1690</x:v>
      </x:c>
      <x:c r="I82" s="13"/>
      <x:c r="J82" s="13"/>
      <x:c r="K82" s="14">
        <x:f>+K60+K65+K70+K81</x:f>
        <x:v>23261147</x:v>
      </x:c>
      <x:c r="L82" s="14">
        <x:f>+L60+L65+L70+L81</x:f>
        <x:v>834377.90000000002</x:v>
      </x:c>
      <x:c r="M82" s="15">
        <x:f>+M60+M65+M70+M81</x:f>
        <x:v>24095524.899999999</x:v>
      </x:c>
      <x:c r="N82" s="16"/>
    </x:row>
    <x:row r="83" spans="1:14" ht="20.100000000000001" customHeight="1">
      <x:c r="A83" s="23" t="s">
        <x:v>35</x:v>
      </x:c>
      <x:c r="B83" s="24"/>
      <x:c r="C83" s="24"/>
      <x:c r="D83" s="25">
        <x:f>+D43-D82</x:f>
        <x:v>-10283736</x:v>
      </x:c>
      <x:c r="E83" s="25">
        <x:f>+E43-E82</x:f>
        <x:v>-42380.599999999999</x:v>
      </x:c>
      <x:c r="F83" s="26">
        <x:f>+F43-F82</x:f>
        <x:v>-10326116.6</x:v>
      </x:c>
      <x:c r="G83" s="27"/>
      <x:c r="H83" s="23" t="s">
        <x:v>35</x:v>
      </x:c>
      <x:c r="I83" s="24"/>
      <x:c r="J83" s="24"/>
      <x:c r="K83" s="25">
        <x:f>+K43-K82</x:f>
        <x:v>-23261147</x:v>
      </x:c>
      <x:c r="L83" s="25">
        <x:f>+L43-L82</x:f>
        <x:v>-834377.90000000002</x:v>
      </x:c>
      <x:c r="M83" s="26">
        <x:f>+M43-M82</x:f>
        <x:v>-24095524.899999999</x:v>
      </x:c>
      <x:c r="N83" s="27"/>
    </x:row>
    <x:row r="84" spans="1:14" ht="20.100000000000001" customHeight="1">
      <x:c r="A84" s="302" t="s">
        <x:v>415</x:v>
      </x:c>
      <x:c r="B84" s="303"/>
      <x:c r="C84" s="303"/>
      <x:c r="D84" s="303"/>
      <x:c r="E84" s="303"/>
      <x:c r="F84" s="304"/>
      <x:c r="G84" s="305"/>
      <x:c r="H84" s="302" t="s">
        <x:v>466</x:v>
      </x:c>
      <x:c r="I84" s="303"/>
      <x:c r="J84" s="303"/>
      <x:c r="K84" s="303"/>
      <x:c r="L84" s="303"/>
      <x:c r="M84" s="304"/>
      <x:c r="N84" s="305"/>
    </x:row>
    <x:row r="85" spans="1:14" ht="20.100000000000001" customHeight="1">
      <x:c r="A85" s="29" t="s">
        <x:v>147</x:v>
      </x:c>
      <x:c r="B85" s="189" t="s">
        <x:v>144</x:v>
      </x:c>
      <x:c r="C85" s="189" t="s">
        <x:v>150</x:v>
      </x:c>
      <x:c r="D85" s="31" t="s">
        <x:v>145</x:v>
      </x:c>
      <x:c r="E85" s="31" t="s">
        <x:v>152</x:v>
      </x:c>
      <x:c r="F85" s="31" t="s">
        <x:v>146</x:v>
      </x:c>
      <x:c r="G85" s="34" t="s">
        <x:v>154</x:v>
      </x:c>
      <x:c r="H85" s="29" t="s">
        <x:v>147</x:v>
      </x:c>
      <x:c r="I85" s="189" t="s">
        <x:v>144</x:v>
      </x:c>
      <x:c r="J85" s="189" t="s">
        <x:v>150</x:v>
      </x:c>
      <x:c r="K85" s="31" t="s">
        <x:v>145</x:v>
      </x:c>
      <x:c r="L85" s="31" t="s">
        <x:v>152</x:v>
      </x:c>
      <x:c r="M85" s="32" t="s">
        <x:v>146</x:v>
      </x:c>
      <x:c r="N85" s="33" t="s">
        <x:v>154</x:v>
      </x:c>
    </x:row>
    <x:row r="86" spans="1:14" ht="20.100000000000001" customHeight="1">
      <x:c r="A86" s="41" t="s">
        <x:v>151</x:v>
      </x:c>
      <x:c r="B86" s="38" t="s">
        <x:v>1679</x:v>
      </x:c>
      <x:c r="C86" s="38" t="s">
        <x:v>791</x:v>
      </x:c>
      <x:c r="D86" s="39">
        <x:v>20000000</x:v>
      </x:c>
      <x:c r="E86" s="39">
        <x:f>+D86*0.1</x:f>
        <x:v>2000000</x:v>
      </x:c>
      <x:c r="F86" s="40">
        <x:f>+D86+E86</x:f>
        <x:v>22000000</x:v>
      </x:c>
      <x:c r="G86" s="42"/>
      <x:c r="H86" s="188" t="s">
        <x:v>151</x:v>
      </x:c>
      <x:c r="I86" s="38" t="s">
        <x:v>1679</x:v>
      </x:c>
      <x:c r="J86" s="38" t="s">
        <x:v>791</x:v>
      </x:c>
      <x:c r="K86" s="39">
        <x:v>12000000</x:v>
      </x:c>
      <x:c r="L86" s="39">
        <x:f>+K86*0.1</x:f>
        <x:v>1200000</x:v>
      </x:c>
      <x:c r="M86" s="40">
        <x:f t="shared" ref="M86:M94" si="14">+K86+L86</x:f>
        <x:v>13200000</x:v>
      </x:c>
      <x:c r="N86" s="18"/>
    </x:row>
    <x:row r="87" spans="1:14" ht="20.100000000000001" customHeight="1">
      <x:c r="A87" s="298" t="s">
        <x:v>148</x:v>
      </x:c>
      <x:c r="B87" s="19" t="s">
        <x:v>867</x:v>
      </x:c>
      <x:c r="C87" s="19" t="s">
        <x:v>384</x:v>
      </x:c>
      <x:c r="D87" s="20">
        <x:v>3019800</x:v>
      </x:c>
      <x:c r="E87" s="20">
        <x:f>+D87*0.1</x:f>
        <x:v>301980</x:v>
      </x:c>
      <x:c r="F87" s="21">
        <x:f t="shared" ref="F87:F92" si="15">+D87+E87</x:f>
        <x:v>3321780</x:v>
      </x:c>
      <x:c r="G87" s="22"/>
      <x:c r="H87" s="298" t="s">
        <x:v>148</x:v>
      </x:c>
      <x:c r="I87" s="54" t="s">
        <x:v>867</x:v>
      </x:c>
      <x:c r="J87" s="54" t="s">
        <x:v>1287</x:v>
      </x:c>
      <x:c r="K87" s="93">
        <x:v>5232500</x:v>
      </x:c>
      <x:c r="L87" s="93">
        <x:f>+K87*0.1</x:f>
        <x:v>523250</x:v>
      </x:c>
      <x:c r="M87" s="94">
        <x:f t="shared" si="14"/>
        <x:v>5755750</x:v>
      </x:c>
      <x:c r="N87" s="95"/>
    </x:row>
    <x:row r="88" spans="1:14" ht="20.100000000000001" customHeight="1">
      <x:c r="A88" s="299"/>
      <x:c r="B88" s="3" t="s">
        <x:v>976</x:v>
      </x:c>
      <x:c r="C88" s="3"/>
      <x:c r="D88" s="4"/>
      <x:c r="E88" s="4">
        <x:f>D88*0.1</x:f>
        <x:v>0</x:v>
      </x:c>
      <x:c r="F88" s="5">
        <x:f t="shared" si="15"/>
        <x:v>0</x:v>
      </x:c>
      <x:c r="G88" s="6"/>
      <x:c r="H88" s="299"/>
      <x:c r="I88" s="162" t="s">
        <x:v>840</x:v>
      </x:c>
      <x:c r="J88" s="162" t="s">
        <x:v>600</x:v>
      </x:c>
      <x:c r="K88" s="163">
        <x:v>2690600</x:v>
      </x:c>
      <x:c r="L88" s="163">
        <x:f>+K88*0.1</x:f>
        <x:v>269060</x:v>
      </x:c>
      <x:c r="M88" s="164">
        <x:f t="shared" si="14"/>
        <x:v>2959660</x:v>
      </x:c>
      <x:c r="N88" s="158"/>
    </x:row>
    <x:row r="89" spans="1:14" ht="20.100000000000001" customHeight="1">
      <x:c r="A89" s="299"/>
      <x:c r="B89" s="3" t="s">
        <x:v>1348</x:v>
      </x:c>
      <x:c r="C89" s="3" t="s">
        <x:v>1183</x:v>
      </x:c>
      <x:c r="D89" s="4"/>
      <x:c r="E89" s="4">
        <x:f t="shared" ref="E89:E96" si="16">+D89*0.1</x:f>
        <x:v>0</x:v>
      </x:c>
      <x:c r="F89" s="5">
        <x:f t="shared" si="15"/>
        <x:v>0</x:v>
      </x:c>
      <x:c r="G89" s="6"/>
      <x:c r="H89" s="299"/>
      <x:c r="I89" s="3" t="s">
        <x:v>902</x:v>
      </x:c>
      <x:c r="J89" s="3" t="s">
        <x:v>1349</x:v>
      </x:c>
      <x:c r="K89" s="4">
        <x:v>2187750</x:v>
      </x:c>
      <x:c r="L89" s="4">
        <x:f>+K89*0.1</x:f>
        <x:v>218775</x:v>
      </x:c>
      <x:c r="M89" s="5">
        <x:f t="shared" si="14"/>
        <x:v>2406525</x:v>
      </x:c>
      <x:c r="N89" s="6"/>
    </x:row>
    <x:row r="90" spans="1:14" ht="20.100000000000001" customHeight="1">
      <x:c r="A90" s="299"/>
      <x:c r="B90" s="3" t="s">
        <x:v>938</x:v>
      </x:c>
      <x:c r="C90" s="3" t="s">
        <x:v>1330</x:v>
      </x:c>
      <x:c r="D90" s="4">
        <x:v>250000</x:v>
      </x:c>
      <x:c r="E90" s="4">
        <x:f t="shared" si="16"/>
        <x:v>25000</x:v>
      </x:c>
      <x:c r="F90" s="5">
        <x:f t="shared" si="15"/>
        <x:v>275000</x:v>
      </x:c>
      <x:c r="G90" s="6"/>
      <x:c r="H90" s="299"/>
      <x:c r="I90" s="3" t="s">
        <x:v>938</x:v>
      </x:c>
      <x:c r="J90" s="3"/>
      <x:c r="K90" s="4"/>
      <x:c r="L90" s="4">
        <x:f>+K90*0.1</x:f>
        <x:v>0</x:v>
      </x:c>
      <x:c r="M90" s="5">
        <x:f t="shared" si="14"/>
        <x:v>0</x:v>
      </x:c>
      <x:c r="N90" s="6"/>
    </x:row>
    <x:row r="91" spans="1:14" ht="20.100000000000001" customHeight="1">
      <x:c r="A91" s="299"/>
      <x:c r="B91" s="3" t="s">
        <x:v>838</x:v>
      </x:c>
      <x:c r="C91" s="3" t="s">
        <x:v>1110</x:v>
      </x:c>
      <x:c r="D91" s="4">
        <x:v>93100</x:v>
      </x:c>
      <x:c r="E91" s="4">
        <x:f t="shared" si="16"/>
        <x:v>9310</x:v>
      </x:c>
      <x:c r="F91" s="5">
        <x:f t="shared" si="15"/>
        <x:v>102410</x:v>
      </x:c>
      <x:c r="G91" s="6"/>
      <x:c r="H91" s="299"/>
      <x:c r="I91" s="3" t="s">
        <x:v>976</x:v>
      </x:c>
      <x:c r="J91" s="3" t="s">
        <x:v>1260</x:v>
      </x:c>
      <x:c r="K91" s="4"/>
      <x:c r="L91" s="4">
        <x:f>+INT(K91*0.1)</x:f>
        <x:v>0</x:v>
      </x:c>
      <x:c r="M91" s="5">
        <x:f t="shared" si="14"/>
        <x:v>0</x:v>
      </x:c>
      <x:c r="N91" s="6"/>
    </x:row>
    <x:row r="92" spans="1:14" ht="20.100000000000001" customHeight="1">
      <x:c r="A92" s="299"/>
      <x:c r="B92" s="3" t="s">
        <x:v>1378</x:v>
      </x:c>
      <x:c r="C92" s="3" t="s">
        <x:v>1364</x:v>
      </x:c>
      <x:c r="D92" s="4">
        <x:v>520850</x:v>
      </x:c>
      <x:c r="E92" s="4">
        <x:f t="shared" si="16"/>
        <x:v>52085</x:v>
      </x:c>
      <x:c r="F92" s="5">
        <x:f t="shared" si="15"/>
        <x:v>572935</x:v>
      </x:c>
      <x:c r="G92" s="6"/>
      <x:c r="H92" s="299"/>
      <x:c r="I92" s="3" t="s">
        <x:v>483</x:v>
      </x:c>
      <x:c r="J92" s="3" t="s">
        <x:v>1366</x:v>
      </x:c>
      <x:c r="K92" s="4">
        <x:v>155000</x:v>
      </x:c>
      <x:c r="L92" s="4">
        <x:f>+INT(K92*0.1)</x:f>
        <x:v>15500</x:v>
      </x:c>
      <x:c r="M92" s="5">
        <x:f t="shared" si="14"/>
        <x:v>170500</x:v>
      </x:c>
      <x:c r="N92" s="6"/>
    </x:row>
    <x:row r="93" spans="1:14" ht="20.100000000000001" customHeight="1">
      <x:c r="A93" s="299"/>
      <x:c r="B93" s="3" t="s">
        <x:v>846</x:v>
      </x:c>
      <x:c r="C93" s="3" t="s">
        <x:v>1191</x:v>
      </x:c>
      <x:c r="D93" s="4">
        <x:v>136800</x:v>
      </x:c>
      <x:c r="E93" s="4">
        <x:f t="shared" si="16"/>
        <x:v>13680</x:v>
      </x:c>
      <x:c r="F93" s="5">
        <x:f>+D93+E93</x:f>
        <x:v>150480</x:v>
      </x:c>
      <x:c r="G93" s="6"/>
      <x:c r="H93" s="299"/>
      <x:c r="I93" s="3" t="s">
        <x:v>846</x:v>
      </x:c>
      <x:c r="J93" s="3" t="s">
        <x:v>1385</x:v>
      </x:c>
      <x:c r="K93" s="4">
        <x:v>379600</x:v>
      </x:c>
      <x:c r="L93" s="4">
        <x:f>+K93*0.1</x:f>
        <x:v>37960</x:v>
      </x:c>
      <x:c r="M93" s="5">
        <x:f>+K93+L93</x:f>
        <x:v>417560</x:v>
      </x:c>
      <x:c r="N93" s="6"/>
    </x:row>
    <x:row r="94" spans="1:14" ht="20.100000000000001" customHeight="1">
      <x:c r="A94" s="299"/>
      <x:c r="B94" s="3"/>
      <x:c r="C94" s="3"/>
      <x:c r="D94" s="4"/>
      <x:c r="E94" s="4">
        <x:f t="shared" si="16"/>
        <x:v>0</x:v>
      </x:c>
      <x:c r="F94" s="5">
        <x:f>+D94+E94</x:f>
        <x:v>0</x:v>
      </x:c>
      <x:c r="G94" s="6"/>
      <x:c r="H94" s="299"/>
      <x:c r="I94" s="3"/>
      <x:c r="J94" s="3"/>
      <x:c r="K94" s="4"/>
      <x:c r="L94" s="4">
        <x:f>+INT(K94*0.1)</x:f>
        <x:v>0</x:v>
      </x:c>
      <x:c r="M94" s="5">
        <x:f t="shared" si="14"/>
        <x:v>0</x:v>
      </x:c>
      <x:c r="N94" s="6"/>
    </x:row>
    <x:row r="95" spans="1:14" ht="20.100000000000001" customHeight="1">
      <x:c r="A95" s="299"/>
      <x:c r="B95" s="3"/>
      <x:c r="C95" s="3"/>
      <x:c r="D95" s="4"/>
      <x:c r="E95" s="4">
        <x:f t="shared" si="16"/>
        <x:v>0</x:v>
      </x:c>
      <x:c r="F95" s="5">
        <x:f>+D95+E95</x:f>
        <x:v>0</x:v>
      </x:c>
      <x:c r="G95" s="6"/>
      <x:c r="H95" s="299"/>
      <x:c r="I95" s="3"/>
      <x:c r="J95" s="3"/>
      <x:c r="K95" s="4"/>
      <x:c r="L95" s="4"/>
      <x:c r="M95" s="5"/>
      <x:c r="N95" s="6"/>
    </x:row>
    <x:row r="96" spans="1:14" ht="20.100000000000001" customHeight="1">
      <x:c r="A96" s="299"/>
      <x:c r="B96" s="3"/>
      <x:c r="C96" s="3"/>
      <x:c r="D96" s="4"/>
      <x:c r="E96" s="4">
        <x:f t="shared" si="16"/>
        <x:v>0</x:v>
      </x:c>
      <x:c r="F96" s="5">
        <x:f>+D96+E96</x:f>
        <x:v>0</x:v>
      </x:c>
      <x:c r="G96" s="6"/>
      <x:c r="H96" s="299"/>
      <x:c r="I96" s="3"/>
      <x:c r="J96" s="3"/>
      <x:c r="K96" s="4"/>
      <x:c r="L96" s="4">
        <x:f t="shared" ref="L96:L101" si="17">+INT(K96*0.1)</x:f>
        <x:v>0</x:v>
      </x:c>
      <x:c r="M96" s="5">
        <x:f t="shared" ref="M96:M101" si="18">+K96+L96</x:f>
        <x:v>0</x:v>
      </x:c>
      <x:c r="N96" s="6"/>
    </x:row>
    <x:row r="97" spans="1:14" ht="20.100000000000001" customHeight="1">
      <x:c r="A97" s="299"/>
      <x:c r="B97" s="3"/>
      <x:c r="C97" s="3"/>
      <x:c r="D97" s="4"/>
      <x:c r="E97" s="4"/>
      <x:c r="F97" s="5"/>
      <x:c r="G97" s="6"/>
      <x:c r="H97" s="299"/>
      <x:c r="I97" s="3"/>
      <x:c r="J97" s="3"/>
      <x:c r="K97" s="4"/>
      <x:c r="L97" s="4">
        <x:f t="shared" si="17"/>
        <x:v>0</x:v>
      </x:c>
      <x:c r="M97" s="5">
        <x:f t="shared" si="18"/>
        <x:v>0</x:v>
      </x:c>
      <x:c r="N97" s="6"/>
    </x:row>
    <x:row r="98" spans="1:14" ht="20.100000000000001" customHeight="1">
      <x:c r="A98" s="299"/>
      <x:c r="B98" s="3"/>
      <x:c r="C98" s="3"/>
      <x:c r="D98" s="4"/>
      <x:c r="E98" s="4">
        <x:f>+D98*0.1</x:f>
        <x:v>0</x:v>
      </x:c>
      <x:c r="F98" s="5">
        <x:f>+D98+E98</x:f>
        <x:v>0</x:v>
      </x:c>
      <x:c r="G98" s="6"/>
      <x:c r="H98" s="299"/>
      <x:c r="I98" s="3"/>
      <x:c r="J98" s="3"/>
      <x:c r="K98" s="4"/>
      <x:c r="L98" s="4">
        <x:f t="shared" si="17"/>
        <x:v>0</x:v>
      </x:c>
      <x:c r="M98" s="5">
        <x:f t="shared" si="18"/>
        <x:v>0</x:v>
      </x:c>
      <x:c r="N98" s="6"/>
    </x:row>
    <x:row r="99" spans="1:14" ht="20.100000000000001" customHeight="1">
      <x:c r="A99" s="299"/>
      <x:c r="B99" s="3"/>
      <x:c r="C99" s="3"/>
      <x:c r="D99" s="4"/>
      <x:c r="E99" s="4">
        <x:f>+D99*0.1</x:f>
        <x:v>0</x:v>
      </x:c>
      <x:c r="F99" s="5">
        <x:f>+D99+E99</x:f>
        <x:v>0</x:v>
      </x:c>
      <x:c r="G99" s="6"/>
      <x:c r="H99" s="299"/>
      <x:c r="I99" s="3"/>
      <x:c r="J99" s="3"/>
      <x:c r="K99" s="4"/>
      <x:c r="L99" s="4">
        <x:f t="shared" si="17"/>
        <x:v>0</x:v>
      </x:c>
      <x:c r="M99" s="5">
        <x:f t="shared" si="18"/>
        <x:v>0</x:v>
      </x:c>
      <x:c r="N99" s="6"/>
    </x:row>
    <x:row r="100" spans="1:14" ht="20.100000000000001" customHeight="1">
      <x:c r="A100" s="299"/>
      <x:c r="B100" s="3"/>
      <x:c r="C100" s="3"/>
      <x:c r="D100" s="4"/>
      <x:c r="E100" s="4">
        <x:f>+D100*0.1</x:f>
        <x:v>0</x:v>
      </x:c>
      <x:c r="F100" s="5">
        <x:f>+D100+E100</x:f>
        <x:v>0</x:v>
      </x:c>
      <x:c r="G100" s="6"/>
      <x:c r="H100" s="299"/>
      <x:c r="I100" s="3"/>
      <x:c r="J100" s="3"/>
      <x:c r="K100" s="4"/>
      <x:c r="L100" s="4">
        <x:f t="shared" si="17"/>
        <x:v>0</x:v>
      </x:c>
      <x:c r="M100" s="5">
        <x:f t="shared" si="18"/>
        <x:v>0</x:v>
      </x:c>
      <x:c r="N100" s="6"/>
    </x:row>
    <x:row r="101" spans="1:14" ht="20.100000000000001" customHeight="1">
      <x:c r="A101" s="299"/>
      <x:c r="B101" s="3"/>
      <x:c r="C101" s="3"/>
      <x:c r="D101" s="4"/>
      <x:c r="E101" s="4">
        <x:f>+D101*0.1</x:f>
        <x:v>0</x:v>
      </x:c>
      <x:c r="F101" s="5">
        <x:f>+D101+E101</x:f>
        <x:v>0</x:v>
      </x:c>
      <x:c r="G101" s="6"/>
      <x:c r="H101" s="299"/>
      <x:c r="I101" s="3"/>
      <x:c r="J101" s="3"/>
      <x:c r="K101" s="4"/>
      <x:c r="L101" s="4">
        <x:f t="shared" si="17"/>
        <x:v>0</x:v>
      </x:c>
      <x:c r="M101" s="5">
        <x:f t="shared" si="18"/>
        <x:v>0</x:v>
      </x:c>
      <x:c r="N101" s="6"/>
    </x:row>
    <x:row r="102" spans="1:14" ht="20.100000000000001" customHeight="1">
      <x:c r="A102" s="299"/>
      <x:c r="B102" s="3"/>
      <x:c r="C102" s="3"/>
      <x:c r="D102" s="4"/>
      <x:c r="E102" s="4">
        <x:f>+D102*0.1</x:f>
        <x:v>0</x:v>
      </x:c>
      <x:c r="F102" s="5">
        <x:f>+D102+E102</x:f>
        <x:v>0</x:v>
      </x:c>
      <x:c r="G102" s="6"/>
      <x:c r="H102" s="300"/>
      <x:c r="I102" s="3"/>
      <x:c r="J102" s="3"/>
      <x:c r="K102" s="4"/>
      <x:c r="L102" s="4"/>
      <x:c r="M102" s="5"/>
      <x:c r="N102" s="6"/>
    </x:row>
    <x:row r="103" spans="1:14" ht="20.100000000000001" customHeight="1">
      <x:c r="A103" s="7"/>
      <x:c r="B103" s="8"/>
      <x:c r="C103" s="8"/>
      <x:c r="D103" s="9">
        <x:f>SUM(D87:D102)</x:f>
        <x:v>4020550</x:v>
      </x:c>
      <x:c r="E103" s="9">
        <x:f>SUM(E87:E102)</x:f>
        <x:v>402055</x:v>
      </x:c>
      <x:c r="F103" s="10">
        <x:f>SUM(F87:F102)</x:f>
        <x:v>4422605</x:v>
      </x:c>
      <x:c r="G103" s="11"/>
      <x:c r="H103" s="7" t="s">
        <x:v>155</x:v>
      </x:c>
      <x:c r="I103" s="8"/>
      <x:c r="J103" s="8"/>
      <x:c r="K103" s="9">
        <x:f>SUM(K87:K102)</x:f>
        <x:v>10645450</x:v>
      </x:c>
      <x:c r="L103" s="9">
        <x:f>SUM(L87:L102)</x:f>
        <x:v>1064545</x:v>
      </x:c>
      <x:c r="M103" s="10">
        <x:f>SUM(M87:M102)</x:f>
        <x:v>11709995</x:v>
      </x:c>
      <x:c r="N103" s="11"/>
    </x:row>
    <x:row r="104" spans="1:14" ht="20.100000000000001" customHeight="1">
      <x:c r="A104" s="301" t="s">
        <x:v>153</x:v>
      </x:c>
      <x:c r="B104" s="3" t="s">
        <x:v>1677</x:v>
      </x:c>
      <x:c r="C104" s="3" t="s">
        <x:v>1096</x:v>
      </x:c>
      <x:c r="D104" s="4">
        <x:v>9500000</x:v>
      </x:c>
      <x:c r="E104" s="4"/>
      <x:c r="F104" s="5">
        <x:f>+D104+E104</x:f>
        <x:v>9500000</x:v>
      </x:c>
      <x:c r="G104" s="6"/>
      <x:c r="H104" s="301" t="s">
        <x:v>153</x:v>
      </x:c>
      <x:c r="I104" s="3" t="s">
        <x:v>1677</x:v>
      </x:c>
      <x:c r="J104" s="3" t="s">
        <x:v>1383</x:v>
      </x:c>
      <x:c r="K104" s="4">
        <x:v>2040000</x:v>
      </x:c>
      <x:c r="L104" s="44"/>
      <x:c r="M104" s="45">
        <x:f>+K104+L104</x:f>
        <x:v>2040000</x:v>
      </x:c>
      <x:c r="N104" s="37"/>
    </x:row>
    <x:row r="105" spans="1:14" ht="20.100000000000001" customHeight="1">
      <x:c r="A105" s="299"/>
      <x:c r="B105" s="3" t="s">
        <x:v>960</x:v>
      </x:c>
      <x:c r="C105" s="3" t="s">
        <x:v>950</x:v>
      </x:c>
      <x:c r="D105" s="4">
        <x:v>1600000</x:v>
      </x:c>
      <x:c r="E105" s="4"/>
      <x:c r="F105" s="5">
        <x:f>+D105+E105</x:f>
        <x:v>1600000</x:v>
      </x:c>
      <x:c r="G105" s="6"/>
      <x:c r="H105" s="299"/>
      <x:c r="I105" s="3" t="s">
        <x:v>960</x:v>
      </x:c>
      <x:c r="J105" s="3" t="s">
        <x:v>950</x:v>
      </x:c>
      <x:c r="K105" s="4">
        <x:v>1600000</x:v>
      </x:c>
      <x:c r="L105" s="44">
        <x:f>+K105*0.1</x:f>
        <x:v>160000</x:v>
      </x:c>
      <x:c r="M105" s="45">
        <x:f>+K105+L105</x:f>
        <x:v>1760000</x:v>
      </x:c>
      <x:c r="N105" s="37"/>
    </x:row>
    <x:row r="106" spans="1:14" ht="20.100000000000001" customHeight="1">
      <x:c r="A106" s="299"/>
      <x:c r="B106" s="3"/>
      <x:c r="C106" s="3"/>
      <x:c r="D106" s="4"/>
      <x:c r="E106" s="4">
        <x:f>+D106*0.1</x:f>
        <x:v>0</x:v>
      </x:c>
      <x:c r="F106" s="5">
        <x:f>+D106+E106</x:f>
        <x:v>0</x:v>
      </x:c>
      <x:c r="G106" s="6"/>
      <x:c r="H106" s="299"/>
      <x:c r="I106" s="3"/>
      <x:c r="J106" s="3"/>
      <x:c r="K106" s="4"/>
      <x:c r="L106" s="4">
        <x:f>+K106*0.1</x:f>
        <x:v>0</x:v>
      </x:c>
      <x:c r="M106" s="5">
        <x:f>+K106+L106</x:f>
        <x:v>0</x:v>
      </x:c>
      <x:c r="N106" s="6"/>
    </x:row>
    <x:row r="107" spans="1:14" ht="20.100000000000001" customHeight="1">
      <x:c r="A107" s="300"/>
      <x:c r="B107" s="3"/>
      <x:c r="C107" s="3"/>
      <x:c r="D107" s="4"/>
      <x:c r="E107" s="4">
        <x:f>+D107*0.1</x:f>
        <x:v>0</x:v>
      </x:c>
      <x:c r="F107" s="5">
        <x:f>+D107+E107</x:f>
        <x:v>0</x:v>
      </x:c>
      <x:c r="G107" s="6"/>
      <x:c r="H107" s="300"/>
      <x:c r="I107" s="3"/>
      <x:c r="J107" s="3"/>
      <x:c r="K107" s="4"/>
      <x:c r="L107" s="4">
        <x:f>+K107*0.1</x:f>
        <x:v>0</x:v>
      </x:c>
      <x:c r="M107" s="5">
        <x:f>+K107+L107</x:f>
        <x:v>0</x:v>
      </x:c>
      <x:c r="N107" s="6"/>
    </x:row>
    <x:row r="108" spans="1:14" ht="20.100000000000001" customHeight="1">
      <x:c r="A108" s="7"/>
      <x:c r="B108" s="8"/>
      <x:c r="C108" s="8"/>
      <x:c r="D108" s="9">
        <x:f>SUM(D104:D107)</x:f>
        <x:v>11100000</x:v>
      </x:c>
      <x:c r="E108" s="9">
        <x:f>SUM(E104:E107)</x:f>
        <x:v>0</x:v>
      </x:c>
      <x:c r="F108" s="10">
        <x:f>SUM(F104:F107)</x:f>
        <x:v>11100000</x:v>
      </x:c>
      <x:c r="G108" s="11"/>
      <x:c r="H108" s="7" t="s">
        <x:v>155</x:v>
      </x:c>
      <x:c r="I108" s="8"/>
      <x:c r="J108" s="8"/>
      <x:c r="K108" s="9">
        <x:f>SUM(K104:K107)</x:f>
        <x:v>3640000</x:v>
      </x:c>
      <x:c r="L108" s="9">
        <x:f>SUM(L104:L107)</x:f>
        <x:v>160000</x:v>
      </x:c>
      <x:c r="M108" s="10">
        <x:f>SUM(M104:M107)</x:f>
        <x:v>3800000</x:v>
      </x:c>
      <x:c r="N108" s="11"/>
    </x:row>
    <x:row r="109" spans="1:14" ht="20.100000000000001" customHeight="1">
      <x:c r="A109" s="301" t="s">
        <x:v>187</x:v>
      </x:c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301" t="s">
        <x:v>187</x:v>
      </x:c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</x:row>
    <x:row r="110" spans="1:14" ht="20.100000000000001" customHeight="1">
      <x:c r="A110" s="299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299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</x:row>
    <x:row r="111" spans="1:14" ht="20.100000000000001" customHeight="1">
      <x:c r="A111" s="299"/>
      <x:c r="B111" s="3"/>
      <x:c r="C111" s="3"/>
      <x:c r="D111" s="4"/>
      <x:c r="E111" s="4">
        <x:f>+D111*0.1</x:f>
        <x:v>0</x:v>
      </x:c>
      <x:c r="F111" s="5">
        <x:f>+D111+E111</x:f>
        <x:v>0</x:v>
      </x:c>
      <x:c r="G111" s="6"/>
      <x:c r="H111" s="299"/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</x:row>
    <x:row r="112" spans="1:14" ht="20.100000000000001" customHeight="1">
      <x:c r="A112" s="300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300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</x:row>
    <x:row r="113" spans="1:14" ht="20.100000000000001" customHeight="1">
      <x:c r="A113" s="7"/>
      <x:c r="B113" s="8"/>
      <x:c r="C113" s="8"/>
      <x:c r="D113" s="9">
        <x:f>SUM(D109:D112)</x:f>
        <x:v>0</x:v>
      </x:c>
      <x:c r="E113" s="9">
        <x:f>SUM(E109:E112)</x:f>
        <x:v>0</x:v>
      </x:c>
      <x:c r="F113" s="10">
        <x:f>SUM(F109:F112)</x:f>
        <x:v>0</x:v>
      </x:c>
      <x:c r="G113" s="11"/>
      <x:c r="H113" s="7" t="s">
        <x:v>155</x:v>
      </x:c>
      <x:c r="I113" s="8"/>
      <x:c r="J113" s="8"/>
      <x:c r="K113" s="9">
        <x:f>SUM(K109:K112)</x:f>
        <x:v>0</x:v>
      </x:c>
      <x:c r="L113" s="9">
        <x:f>SUM(L109:L112)</x:f>
        <x:v>0</x:v>
      </x:c>
      <x:c r="M113" s="10">
        <x:f>SUM(M109:M112)</x:f>
        <x:v>0</x:v>
      </x:c>
      <x:c r="N113" s="11"/>
    </x:row>
    <x:row r="114" spans="1:14" ht="20.100000000000001" customHeight="1">
      <x:c r="A114" s="301" t="s">
        <x:v>149</x:v>
      </x:c>
      <x:c r="B114" s="3" t="s">
        <x:v>177</x:v>
      </x:c>
      <x:c r="C114" s="3" t="s">
        <x:v>149</x:v>
      </x:c>
      <x:c r="D114" s="4">
        <x:v>706140</x:v>
      </x:c>
      <x:c r="E114" s="4"/>
      <x:c r="F114" s="5">
        <x:f t="shared" ref="F114:F119" si="19">+D114+E114</x:f>
        <x:v>706140</x:v>
      </x:c>
      <x:c r="G114" s="6"/>
      <x:c r="H114" s="301" t="s">
        <x:v>149</x:v>
      </x:c>
      <x:c r="I114" s="3" t="s">
        <x:v>177</x:v>
      </x:c>
      <x:c r="J114" s="3" t="s">
        <x:v>149</x:v>
      </x:c>
      <x:c r="K114" s="4">
        <x:v>312040</x:v>
      </x:c>
      <x:c r="L114" s="4"/>
      <x:c r="M114" s="5">
        <x:f t="shared" ref="M114:M123" si="20">+K114+L114</x:f>
        <x:v>312040</x:v>
      </x:c>
      <x:c r="N114" s="6"/>
    </x:row>
    <x:row r="115" spans="1:14" ht="20.100000000000001" customHeight="1">
      <x:c r="A115" s="299"/>
      <x:c r="B115" s="3" t="s">
        <x:v>601</x:v>
      </x:c>
      <x:c r="C115" s="3" t="s">
        <x:v>962</x:v>
      </x:c>
      <x:c r="D115" s="4">
        <x:v>245000</x:v>
      </x:c>
      <x:c r="E115" s="4">
        <x:f>+D115*0.1</x:f>
        <x:v>24500</x:v>
      </x:c>
      <x:c r="F115" s="5">
        <x:f t="shared" si="19"/>
        <x:v>269500</x:v>
      </x:c>
      <x:c r="G115" s="6"/>
      <x:c r="H115" s="299"/>
      <x:c r="I115" s="3" t="s">
        <x:v>1359</x:v>
      </x:c>
      <x:c r="J115" s="3" t="s">
        <x:v>1356</x:v>
      </x:c>
      <x:c r="K115" s="4">
        <x:v>120000</x:v>
      </x:c>
      <x:c r="L115" s="4">
        <x:f>+K115*0.1</x:f>
        <x:v>12000</x:v>
      </x:c>
      <x:c r="M115" s="5">
        <x:f t="shared" si="20"/>
        <x:v>132000</x:v>
      </x:c>
      <x:c r="N115" s="6"/>
    </x:row>
    <x:row r="116" spans="1:14" ht="20.100000000000001" customHeight="1">
      <x:c r="A116" s="299"/>
      <x:c r="B116" s="3" t="s">
        <x:v>926</x:v>
      </x:c>
      <x:c r="C116" s="3" t="s">
        <x:v>409</x:v>
      </x:c>
      <x:c r="D116" s="4">
        <x:v>367870</x:v>
      </x:c>
      <x:c r="E116" s="4"/>
      <x:c r="F116" s="5">
        <x:f t="shared" si="19"/>
        <x:v>367870</x:v>
      </x:c>
      <x:c r="G116" s="6"/>
      <x:c r="H116" s="299"/>
      <x:c r="I116" s="3"/>
      <x:c r="J116" s="3"/>
      <x:c r="K116" s="4"/>
      <x:c r="L116" s="4"/>
      <x:c r="M116" s="5">
        <x:f t="shared" si="20"/>
        <x:v>0</x:v>
      </x:c>
      <x:c r="N116" s="6"/>
    </x:row>
    <x:row r="117" spans="1:14" ht="20.100000000000001" customHeight="1">
      <x:c r="A117" s="299"/>
      <x:c r="B117" s="3" t="s">
        <x:v>947</x:v>
      </x:c>
      <x:c r="C117" s="3" t="s">
        <x:v>914</x:v>
      </x:c>
      <x:c r="D117" s="4">
        <x:v>50000</x:v>
      </x:c>
      <x:c r="E117" s="4">
        <x:f>+D117*0.1</x:f>
        <x:v>5000</x:v>
      </x:c>
      <x:c r="F117" s="5">
        <x:f t="shared" si="19"/>
        <x:v>55000</x:v>
      </x:c>
      <x:c r="G117" s="6"/>
      <x:c r="H117" s="299"/>
      <x:c r="I117" s="3"/>
      <x:c r="J117" s="3"/>
      <x:c r="K117" s="4"/>
      <x:c r="L117" s="4"/>
      <x:c r="M117" s="5">
        <x:f t="shared" si="20"/>
        <x:v>0</x:v>
      </x:c>
      <x:c r="N117" s="6"/>
    </x:row>
    <x:row r="118" spans="1:14" ht="20.100000000000001" customHeight="1">
      <x:c r="A118" s="299"/>
      <x:c r="B118" s="3" t="s">
        <x:v>1327</x:v>
      </x:c>
      <x:c r="C118" s="3" t="s">
        <x:v>167</x:v>
      </x:c>
      <x:c r="D118" s="4">
        <x:v>11000</x:v>
      </x:c>
      <x:c r="E118" s="4">
        <x:f>+D118*0.1</x:f>
        <x:v>1100</x:v>
      </x:c>
      <x:c r="F118" s="5">
        <x:f t="shared" si="19"/>
        <x:v>12100</x:v>
      </x:c>
      <x:c r="G118" s="6"/>
      <x:c r="H118" s="299"/>
      <x:c r="I118" s="3"/>
      <x:c r="J118" s="3"/>
      <x:c r="K118" s="4"/>
      <x:c r="L118" s="4">
        <x:f>+K118*0.1</x:f>
        <x:v>0</x:v>
      </x:c>
      <x:c r="M118" s="5">
        <x:f t="shared" si="20"/>
        <x:v>0</x:v>
      </x:c>
      <x:c r="N118" s="6"/>
    </x:row>
    <x:row r="119" spans="1:14" ht="20.100000000000001" customHeight="1">
      <x:c r="A119" s="299"/>
      <x:c r="B119" s="3" t="s">
        <x:v>247</x:v>
      </x:c>
      <x:c r="C119" s="3" t="s">
        <x:v>231</x:v>
      </x:c>
      <x:c r="D119" s="4">
        <x:v>20000</x:v>
      </x:c>
      <x:c r="E119" s="4">
        <x:f>+D119*0.1</x:f>
        <x:v>2000</x:v>
      </x:c>
      <x:c r="F119" s="5">
        <x:f t="shared" si="19"/>
        <x:v>22000</x:v>
      </x:c>
      <x:c r="G119" s="6"/>
      <x:c r="H119" s="299"/>
      <x:c r="I119" s="3"/>
      <x:c r="J119" s="3"/>
      <x:c r="K119" s="4"/>
      <x:c r="L119" s="4">
        <x:f>+K119*0.1</x:f>
        <x:v>0</x:v>
      </x:c>
      <x:c r="M119" s="5">
        <x:f t="shared" si="20"/>
        <x:v>0</x:v>
      </x:c>
      <x:c r="N119" s="6"/>
    </x:row>
    <x:row r="120" spans="1:14" ht="20.100000000000001" customHeight="1">
      <x:c r="A120" s="299"/>
      <x:c r="B120" s="3" t="s">
        <x:v>1169</x:v>
      </x:c>
      <x:c r="C120" s="3" t="s">
        <x:v>1187</x:v>
      </x:c>
      <x:c r="D120" s="4">
        <x:v>200000</x:v>
      </x:c>
      <x:c r="E120" s="4">
        <x:f>+D120*0.1</x:f>
        <x:v>20000</x:v>
      </x:c>
      <x:c r="F120" s="5">
        <x:f>+D120+E120</x:f>
        <x:v>220000</x:v>
      </x:c>
      <x:c r="G120" s="6"/>
      <x:c r="H120" s="299"/>
      <x:c r="I120" s="3"/>
      <x:c r="J120" s="3"/>
      <x:c r="K120" s="4"/>
      <x:c r="L120" s="4"/>
      <x:c r="M120" s="5">
        <x:f t="shared" si="20"/>
        <x:v>0</x:v>
      </x:c>
      <x:c r="N120" s="6"/>
    </x:row>
    <x:row r="121" spans="1:14" ht="20.100000000000001" customHeight="1">
      <x:c r="A121" s="299"/>
      <x:c r="B121" s="3"/>
      <x:c r="C121" s="3"/>
      <x:c r="D121" s="4"/>
      <x:c r="E121" s="4"/>
      <x:c r="F121" s="5"/>
      <x:c r="G121" s="6"/>
      <x:c r="H121" s="299"/>
      <x:c r="I121" s="3"/>
      <x:c r="J121" s="3"/>
      <x:c r="K121" s="4"/>
      <x:c r="L121" s="4">
        <x:f>+K121*0.1</x:f>
        <x:v>0</x:v>
      </x:c>
      <x:c r="M121" s="5">
        <x:f t="shared" si="20"/>
        <x:v>0</x:v>
      </x:c>
      <x:c r="N121" s="6"/>
    </x:row>
    <x:row r="122" spans="1:14" ht="20.100000000000001" customHeight="1">
      <x:c r="A122" s="299"/>
      <x:c r="B122" s="3"/>
      <x:c r="C122" s="3"/>
      <x:c r="D122" s="4"/>
      <x:c r="E122" s="4"/>
      <x:c r="F122" s="5"/>
      <x:c r="G122" s="6"/>
      <x:c r="H122" s="299"/>
      <x:c r="I122" s="3"/>
      <x:c r="J122" s="3"/>
      <x:c r="K122" s="4"/>
      <x:c r="L122" s="4"/>
      <x:c r="M122" s="5">
        <x:f t="shared" si="20"/>
        <x:v>0</x:v>
      </x:c>
      <x:c r="N122" s="6"/>
    </x:row>
    <x:row r="123" spans="1:14" ht="20.100000000000001" customHeight="1">
      <x:c r="A123" s="300"/>
      <x:c r="B123" s="3"/>
      <x:c r="C123" s="3"/>
      <x:c r="D123" s="4"/>
      <x:c r="E123" s="4"/>
      <x:c r="F123" s="5"/>
      <x:c r="G123" s="6"/>
      <x:c r="H123" s="300"/>
      <x:c r="I123" s="3"/>
      <x:c r="J123" s="3"/>
      <x:c r="K123" s="4"/>
      <x:c r="L123" s="4"/>
      <x:c r="M123" s="5">
        <x:f t="shared" si="20"/>
        <x:v>0</x:v>
      </x:c>
      <x:c r="N123" s="6"/>
    </x:row>
    <x:row r="124" spans="1:14" ht="20.100000000000001" customHeight="1">
      <x:c r="A124" s="7"/>
      <x:c r="B124" s="8"/>
      <x:c r="C124" s="8"/>
      <x:c r="D124" s="9">
        <x:f>SUM(D114:D123)</x:f>
        <x:v>1600010</x:v>
      </x:c>
      <x:c r="E124" s="9">
        <x:f>SUM(E114:E123)</x:f>
        <x:v>52600</x:v>
      </x:c>
      <x:c r="F124" s="10">
        <x:f>SUM(F114:F123)</x:f>
        <x:v>1652610</x:v>
      </x:c>
      <x:c r="G124" s="11"/>
      <x:c r="H124" s="7" t="s">
        <x:v>155</x:v>
      </x:c>
      <x:c r="I124" s="8"/>
      <x:c r="J124" s="8"/>
      <x:c r="K124" s="9">
        <x:f>SUM(K114:K123)</x:f>
        <x:v>432040</x:v>
      </x:c>
      <x:c r="L124" s="9">
        <x:f>SUM(L114:L123)</x:f>
        <x:v>12000</x:v>
      </x:c>
      <x:c r="M124" s="10">
        <x:f>SUM(M114:M123)</x:f>
        <x:v>444040</x:v>
      </x:c>
      <x:c r="N124" s="11"/>
    </x:row>
    <x:row r="125" spans="1:14" ht="20.100000000000001" customHeight="1">
      <x:c r="A125" s="12"/>
      <x:c r="B125" s="13"/>
      <x:c r="C125" s="13"/>
      <x:c r="D125" s="14">
        <x:f>+D103+D108+D113+D124</x:f>
        <x:v>16720560</x:v>
      </x:c>
      <x:c r="E125" s="14">
        <x:f>+E103+E108+E113+E124</x:f>
        <x:v>454655</x:v>
      </x:c>
      <x:c r="F125" s="15">
        <x:f>+F103+F108+F113+F124</x:f>
        <x:v>17175215</x:v>
      </x:c>
      <x:c r="G125" s="16"/>
      <x:c r="H125" s="12" t="s">
        <x:v>1690</x:v>
      </x:c>
      <x:c r="I125" s="13"/>
      <x:c r="J125" s="13"/>
      <x:c r="K125" s="14">
        <x:f>+K103+K108+K113+K124</x:f>
        <x:v>14717490</x:v>
      </x:c>
      <x:c r="L125" s="14">
        <x:f>+L103+L108+L113+L124</x:f>
        <x:v>1236545</x:v>
      </x:c>
      <x:c r="M125" s="15">
        <x:f>+M103+M108+M113+M124</x:f>
        <x:v>15954035</x:v>
      </x:c>
      <x:c r="N125" s="16"/>
    </x:row>
    <x:row r="126" spans="1:14" ht="20.100000000000001" customHeight="1">
      <x:c r="A126" s="23"/>
      <x:c r="B126" s="24"/>
      <x:c r="C126" s="24"/>
      <x:c r="D126" s="25">
        <x:f>+D86-D125</x:f>
        <x:v>3279440</x:v>
      </x:c>
      <x:c r="E126" s="25">
        <x:f>+E86-E125</x:f>
        <x:v>1545345</x:v>
      </x:c>
      <x:c r="F126" s="26">
        <x:f>+F86-F125</x:f>
        <x:v>4824785</x:v>
      </x:c>
      <x:c r="G126" s="27"/>
      <x:c r="H126" s="23" t="s">
        <x:v>35</x:v>
      </x:c>
      <x:c r="I126" s="24"/>
      <x:c r="J126" s="24"/>
      <x:c r="K126" s="25">
        <x:f>+K86-K125</x:f>
        <x:v>-2717490</x:v>
      </x:c>
      <x:c r="L126" s="25">
        <x:f>+L86-L125</x:f>
        <x:v>-36545</x:v>
      </x:c>
      <x:c r="M126" s="26">
        <x:f>+M86-M125</x:f>
        <x:v>-2754035</x:v>
      </x:c>
      <x:c r="N126" s="27"/>
    </x:row>
    <x:row r="127" spans="1:14" ht="20.100000000000001" customHeight="1">
      <x:c r="A127" s="302" t="s">
        <x:v>423</x:v>
      </x:c>
      <x:c r="B127" s="303"/>
      <x:c r="C127" s="303"/>
      <x:c r="D127" s="303"/>
      <x:c r="E127" s="303"/>
      <x:c r="F127" s="304"/>
      <x:c r="G127" s="305"/>
      <x:c r="H127" s="302" t="s">
        <x:v>426</x:v>
      </x:c>
      <x:c r="I127" s="303"/>
      <x:c r="J127" s="303"/>
      <x:c r="K127" s="303"/>
      <x:c r="L127" s="303"/>
      <x:c r="M127" s="304"/>
      <x:c r="N127" s="305"/>
    </x:row>
    <x:row r="128" spans="1:14" ht="20.100000000000001" customHeight="1">
      <x:c r="A128" s="29" t="s">
        <x:v>147</x:v>
      </x:c>
      <x:c r="B128" s="189" t="s">
        <x:v>144</x:v>
      </x:c>
      <x:c r="C128" s="189" t="s">
        <x:v>150</x:v>
      </x:c>
      <x:c r="D128" s="31" t="s">
        <x:v>145</x:v>
      </x:c>
      <x:c r="E128" s="31" t="s">
        <x:v>152</x:v>
      </x:c>
      <x:c r="F128" s="32" t="s">
        <x:v>146</x:v>
      </x:c>
      <x:c r="G128" s="33" t="s">
        <x:v>154</x:v>
      </x:c>
      <x:c r="H128" s="29" t="s">
        <x:v>147</x:v>
      </x:c>
      <x:c r="I128" s="189" t="s">
        <x:v>144</x:v>
      </x:c>
      <x:c r="J128" s="189" t="s">
        <x:v>150</x:v>
      </x:c>
      <x:c r="K128" s="31" t="s">
        <x:v>145</x:v>
      </x:c>
      <x:c r="L128" s="31" t="s">
        <x:v>152</x:v>
      </x:c>
      <x:c r="M128" s="31" t="s">
        <x:v>146</x:v>
      </x:c>
      <x:c r="N128" s="34" t="s">
        <x:v>154</x:v>
      </x:c>
    </x:row>
    <x:row r="129" spans="1:14" ht="20.100000000000001" customHeight="1">
      <x:c r="A129" s="188" t="s">
        <x:v>151</x:v>
      </x:c>
      <x:c r="B129" s="38" t="s">
        <x:v>1679</x:v>
      </x:c>
      <x:c r="C129" s="38" t="s">
        <x:v>156</x:v>
      </x:c>
      <x:c r="D129" s="39">
        <x:v>153424000</x:v>
      </x:c>
      <x:c r="E129" s="39">
        <x:f>+D129*0.1</x:f>
        <x:v>15342400</x:v>
      </x:c>
      <x:c r="F129" s="40">
        <x:f t="shared" ref="F129:F144" si="21">+D129+E129</x:f>
        <x:v>168766400</x:v>
      </x:c>
      <x:c r="G129" s="18"/>
      <x:c r="H129" s="41" t="s">
        <x:v>151</x:v>
      </x:c>
      <x:c r="I129" s="38"/>
      <x:c r="J129" s="38"/>
      <x:c r="K129" s="39"/>
      <x:c r="L129" s="39"/>
      <x:c r="M129" s="40">
        <x:f>+K129+L129</x:f>
        <x:v>0</x:v>
      </x:c>
      <x:c r="N129" s="42"/>
    </x:row>
    <x:row r="130" spans="1:14" ht="20.100000000000001" customHeight="1">
      <x:c r="A130" s="298" t="s">
        <x:v>148</x:v>
      </x:c>
      <x:c r="B130" s="54" t="s">
        <x:v>1329</x:v>
      </x:c>
      <x:c r="C130" s="54" t="s">
        <x:v>474</x:v>
      </x:c>
      <x:c r="D130" s="93">
        <x:v>153890000</x:v>
      </x:c>
      <x:c r="E130" s="93">
        <x:f>+D130*0.1</x:f>
        <x:v>15389000</x:v>
      </x:c>
      <x:c r="F130" s="94">
        <x:f t="shared" si="21"/>
        <x:v>169279000</x:v>
      </x:c>
      <x:c r="G130" s="95" t="s">
        <x:v>470</x:v>
      </x:c>
      <x:c r="H130" s="298" t="s">
        <x:v>148</x:v>
      </x:c>
      <x:c r="I130" s="19" t="s">
        <x:v>1070</x:v>
      </x:c>
      <x:c r="J130" s="19" t="s">
        <x:v>1351</x:v>
      </x:c>
      <x:c r="K130" s="20">
        <x:v>1000000</x:v>
      </x:c>
      <x:c r="L130" s="20">
        <x:f>+K130*0.1</x:f>
        <x:v>100000</x:v>
      </x:c>
      <x:c r="M130" s="21">
        <x:f t="shared" ref="M130:M145" si="22">+K130+L130</x:f>
        <x:v>1100000</x:v>
      </x:c>
      <x:c r="N130" s="22"/>
    </x:row>
    <x:row r="131" spans="1:14" ht="20.100000000000001" customHeight="1">
      <x:c r="A131" s="299"/>
      <x:c r="B131" s="162" t="s">
        <x:v>1358</x:v>
      </x:c>
      <x:c r="C131" s="162" t="s">
        <x:v>1179</x:v>
      </x:c>
      <x:c r="D131" s="163">
        <x:v>9070800</x:v>
      </x:c>
      <x:c r="E131" s="163">
        <x:f>+D131*0.1</x:f>
        <x:v>907080</x:v>
      </x:c>
      <x:c r="F131" s="164">
        <x:f t="shared" si="21"/>
        <x:v>9977880</x:v>
      </x:c>
      <x:c r="G131" s="180" t="s">
        <x:v>258</x:v>
      </x:c>
      <x:c r="H131" s="299"/>
      <x:c r="I131" s="3" t="s">
        <x:v>867</x:v>
      </x:c>
      <x:c r="J131" s="3" t="s">
        <x:v>399</x:v>
      </x:c>
      <x:c r="K131" s="4">
        <x:v>4013660</x:v>
      </x:c>
      <x:c r="L131" s="4">
        <x:f>K131*0.1</x:f>
        <x:v>401366</x:v>
      </x:c>
      <x:c r="M131" s="5">
        <x:f t="shared" si="22"/>
        <x:v>4415026</x:v>
      </x:c>
      <x:c r="N131" s="6"/>
    </x:row>
    <x:row r="132" spans="1:14" ht="20.100000000000001" customHeight="1">
      <x:c r="A132" s="299"/>
      <x:c r="B132" s="3" t="s">
        <x:v>1362</x:v>
      </x:c>
      <x:c r="C132" s="3" t="s">
        <x:v>375</x:v>
      </x:c>
      <x:c r="D132" s="4">
        <x:v>22643500</x:v>
      </x:c>
      <x:c r="E132" s="4">
        <x:f>+D132*0.1</x:f>
        <x:v>2264350</x:v>
      </x:c>
      <x:c r="F132" s="5">
        <x:f t="shared" si="21"/>
        <x:v>24907850</x:v>
      </x:c>
      <x:c r="G132" s="180" t="s">
        <x:v>258</x:v>
      </x:c>
      <x:c r="H132" s="299"/>
      <x:c r="I132" s="3" t="s">
        <x:v>976</x:v>
      </x:c>
      <x:c r="J132" s="3" t="s">
        <x:v>1365</x:v>
      </x:c>
      <x:c r="K132" s="4">
        <x:v>2940000</x:v>
      </x:c>
      <x:c r="L132" s="4">
        <x:f>+K132*0.1</x:f>
        <x:v>294000</x:v>
      </x:c>
      <x:c r="M132" s="5">
        <x:f t="shared" si="22"/>
        <x:v>3234000</x:v>
      </x:c>
      <x:c r="N132" s="6"/>
    </x:row>
    <x:row r="133" spans="1:14" ht="20.100000000000001" customHeight="1">
      <x:c r="A133" s="299"/>
      <x:c r="B133" s="3" t="s">
        <x:v>1363</x:v>
      </x:c>
      <x:c r="C133" s="3" t="s">
        <x:v>1379</x:v>
      </x:c>
      <x:c r="D133" s="4">
        <x:v>4119000</x:v>
      </x:c>
      <x:c r="E133" s="4">
        <x:f>+D133*0.1</x:f>
        <x:v>411900</x:v>
      </x:c>
      <x:c r="F133" s="5">
        <x:f t="shared" si="21"/>
        <x:v>4530900</x:v>
      </x:c>
      <x:c r="G133" s="180" t="s">
        <x:v>258</x:v>
      </x:c>
      <x:c r="H133" s="299"/>
      <x:c r="I133" s="3" t="s">
        <x:v>838</x:v>
      </x:c>
      <x:c r="J133" s="3" t="s">
        <x:v>1055</x:v>
      </x:c>
      <x:c r="K133" s="4">
        <x:v>151500</x:v>
      </x:c>
      <x:c r="L133" s="4">
        <x:f>+K133*0.1</x:f>
        <x:v>15150</x:v>
      </x:c>
      <x:c r="M133" s="5">
        <x:f t="shared" si="22"/>
        <x:v>166650</x:v>
      </x:c>
      <x:c r="N133" s="6"/>
    </x:row>
    <x:row r="134" spans="1:14" ht="20.100000000000001" customHeight="1">
      <x:c r="A134" s="299"/>
      <x:c r="B134" s="3" t="s">
        <x:v>1380</x:v>
      </x:c>
      <x:c r="C134" s="3" t="s">
        <x:v>1377</x:v>
      </x:c>
      <x:c r="D134" s="4">
        <x:v>62041700</x:v>
      </x:c>
      <x:c r="E134" s="4">
        <x:f>+INT(D134*0.1)</x:f>
        <x:v>6204170</x:v>
      </x:c>
      <x:c r="F134" s="5">
        <x:f t="shared" si="21"/>
        <x:v>68245870</x:v>
      </x:c>
      <x:c r="G134" s="180" t="s">
        <x:v>258</x:v>
      </x:c>
      <x:c r="H134" s="299"/>
      <x:c r="I134" s="3" t="s">
        <x:v>846</x:v>
      </x:c>
      <x:c r="J134" s="3" t="s">
        <x:v>1104</x:v>
      </x:c>
      <x:c r="K134" s="4">
        <x:v>608318</x:v>
      </x:c>
      <x:c r="L134" s="4">
        <x:f>+K134*0.1-2</x:f>
        <x:v>60829.800000000003</x:v>
      </x:c>
      <x:c r="M134" s="5">
        <x:f t="shared" si="22"/>
        <x:v>669147.80000000005</x:v>
      </x:c>
      <x:c r="N134" s="6"/>
    </x:row>
    <x:row r="135" spans="1:14" ht="20.100000000000001" customHeight="1">
      <x:c r="A135" s="299"/>
      <x:c r="B135" s="3"/>
      <x:c r="C135" s="3"/>
      <x:c r="D135" s="4"/>
      <x:c r="E135" s="4">
        <x:f t="shared" ref="E135:E144" si="23">+INT(D135*0.1)</x:f>
        <x:v>0</x:v>
      </x:c>
      <x:c r="F135" s="5">
        <x:f t="shared" si="21"/>
        <x:v>0</x:v>
      </x:c>
      <x:c r="G135" s="6"/>
      <x:c r="H135" s="299"/>
      <x:c r="I135" s="3" t="s">
        <x:v>406</x:v>
      </x:c>
      <x:c r="J135" s="3" t="s">
        <x:v>1093</x:v>
      </x:c>
      <x:c r="K135" s="4">
        <x:v>164300</x:v>
      </x:c>
      <x:c r="L135" s="4">
        <x:f t="shared" ref="L135:L145" si="24">+K135*0.1</x:f>
        <x:v>16430</x:v>
      </x:c>
      <x:c r="M135" s="5">
        <x:f t="shared" si="22"/>
        <x:v>180730</x:v>
      </x:c>
      <x:c r="N135" s="6"/>
    </x:row>
    <x:row r="136" spans="1:14" ht="20.100000000000001" customHeight="1">
      <x:c r="A136" s="299"/>
      <x:c r="B136" s="3"/>
      <x:c r="C136" s="3"/>
      <x:c r="D136" s="4"/>
      <x:c r="E136" s="4">
        <x:f t="shared" si="23"/>
        <x:v>0</x:v>
      </x:c>
      <x:c r="F136" s="5">
        <x:f t="shared" si="21"/>
        <x:v>0</x:v>
      </x:c>
      <x:c r="G136" s="6"/>
      <x:c r="H136" s="299"/>
      <x:c r="I136" s="3"/>
      <x:c r="J136" s="3"/>
      <x:c r="K136" s="4"/>
      <x:c r="L136" s="4">
        <x:f t="shared" si="24"/>
        <x:v>0</x:v>
      </x:c>
      <x:c r="M136" s="5">
        <x:f t="shared" si="22"/>
        <x:v>0</x:v>
      </x:c>
      <x:c r="N136" s="6"/>
    </x:row>
    <x:row r="137" spans="1:14" ht="20.100000000000001" customHeight="1">
      <x:c r="A137" s="299"/>
      <x:c r="B137" s="3"/>
      <x:c r="C137" s="3"/>
      <x:c r="D137" s="4"/>
      <x:c r="E137" s="4">
        <x:f t="shared" si="23"/>
        <x:v>0</x:v>
      </x:c>
      <x:c r="F137" s="5">
        <x:f t="shared" si="21"/>
        <x:v>0</x:v>
      </x:c>
      <x:c r="G137" s="6"/>
      <x:c r="H137" s="299"/>
      <x:c r="I137" s="3"/>
      <x:c r="J137" s="3"/>
      <x:c r="K137" s="4"/>
      <x:c r="L137" s="4">
        <x:f t="shared" si="24"/>
        <x:v>0</x:v>
      </x:c>
      <x:c r="M137" s="5">
        <x:f t="shared" si="22"/>
        <x:v>0</x:v>
      </x:c>
      <x:c r="N137" s="6"/>
    </x:row>
    <x:row r="138" spans="1:14" ht="20.100000000000001" customHeight="1">
      <x:c r="A138" s="299"/>
      <x:c r="B138" s="3"/>
      <x:c r="C138" s="3"/>
      <x:c r="D138" s="4"/>
      <x:c r="E138" s="4"/>
      <x:c r="F138" s="5"/>
      <x:c r="G138" s="6"/>
      <x:c r="H138" s="299"/>
      <x:c r="I138" s="3"/>
      <x:c r="J138" s="3"/>
      <x:c r="K138" s="4"/>
      <x:c r="L138" s="4"/>
      <x:c r="M138" s="5"/>
      <x:c r="N138" s="6"/>
    </x:row>
    <x:row r="139" spans="1:14" ht="20.100000000000001" customHeight="1">
      <x:c r="A139" s="299"/>
      <x:c r="B139" s="3"/>
      <x:c r="C139" s="3"/>
      <x:c r="D139" s="4"/>
      <x:c r="E139" s="4">
        <x:f t="shared" si="23"/>
        <x:v>0</x:v>
      </x:c>
      <x:c r="F139" s="5">
        <x:f t="shared" si="21"/>
        <x:v>0</x:v>
      </x:c>
      <x:c r="G139" s="6"/>
      <x:c r="H139" s="299"/>
      <x:c r="I139" s="3"/>
      <x:c r="J139" s="3"/>
      <x:c r="K139" s="4"/>
      <x:c r="L139" s="4">
        <x:f t="shared" si="24"/>
        <x:v>0</x:v>
      </x:c>
      <x:c r="M139" s="5">
        <x:f t="shared" si="22"/>
        <x:v>0</x:v>
      </x:c>
      <x:c r="N139" s="6"/>
    </x:row>
    <x:row r="140" spans="1:14" ht="20.100000000000001" customHeight="1">
      <x:c r="A140" s="299"/>
      <x:c r="B140" s="3"/>
      <x:c r="C140" s="3"/>
      <x:c r="D140" s="4"/>
      <x:c r="E140" s="4">
        <x:f t="shared" si="23"/>
        <x:v>0</x:v>
      </x:c>
      <x:c r="F140" s="5">
        <x:f t="shared" si="21"/>
        <x:v>0</x:v>
      </x:c>
      <x:c r="G140" s="6"/>
      <x:c r="H140" s="299"/>
      <x:c r="I140" s="3"/>
      <x:c r="J140" s="3"/>
      <x:c r="K140" s="4"/>
      <x:c r="L140" s="4">
        <x:f t="shared" si="24"/>
        <x:v>0</x:v>
      </x:c>
      <x:c r="M140" s="5">
        <x:f t="shared" si="22"/>
        <x:v>0</x:v>
      </x:c>
      <x:c r="N140" s="6"/>
    </x:row>
    <x:row r="141" spans="1:14" ht="20.100000000000001" customHeight="1">
      <x:c r="A141" s="299"/>
      <x:c r="B141" s="3"/>
      <x:c r="C141" s="3"/>
      <x:c r="D141" s="4"/>
      <x:c r="E141" s="4">
        <x:f t="shared" si="23"/>
        <x:v>0</x:v>
      </x:c>
      <x:c r="F141" s="5">
        <x:f t="shared" si="21"/>
        <x:v>0</x:v>
      </x:c>
      <x:c r="G141" s="6"/>
      <x:c r="H141" s="299"/>
      <x:c r="I141" s="3"/>
      <x:c r="J141" s="3"/>
      <x:c r="K141" s="4"/>
      <x:c r="L141" s="4">
        <x:f t="shared" si="24"/>
        <x:v>0</x:v>
      </x:c>
      <x:c r="M141" s="5">
        <x:f t="shared" si="22"/>
        <x:v>0</x:v>
      </x:c>
      <x:c r="N141" s="6"/>
    </x:row>
    <x:row r="142" spans="1:14" ht="20.100000000000001" customHeight="1">
      <x:c r="A142" s="299"/>
      <x:c r="B142" s="3"/>
      <x:c r="C142" s="3"/>
      <x:c r="D142" s="4"/>
      <x:c r="E142" s="4">
        <x:f t="shared" si="23"/>
        <x:v>0</x:v>
      </x:c>
      <x:c r="F142" s="5">
        <x:f t="shared" si="21"/>
        <x:v>0</x:v>
      </x:c>
      <x:c r="G142" s="6"/>
      <x:c r="H142" s="299"/>
      <x:c r="I142" s="3"/>
      <x:c r="J142" s="3"/>
      <x:c r="K142" s="4"/>
      <x:c r="L142" s="4">
        <x:f t="shared" si="24"/>
        <x:v>0</x:v>
      </x:c>
      <x:c r="M142" s="5">
        <x:f t="shared" si="22"/>
        <x:v>0</x:v>
      </x:c>
      <x:c r="N142" s="6"/>
    </x:row>
    <x:row r="143" spans="1:14" ht="20.100000000000001" customHeight="1">
      <x:c r="A143" s="299"/>
      <x:c r="B143" s="3"/>
      <x:c r="C143" s="3"/>
      <x:c r="D143" s="4"/>
      <x:c r="E143" s="4">
        <x:f t="shared" si="23"/>
        <x:v>0</x:v>
      </x:c>
      <x:c r="F143" s="5">
        <x:f t="shared" si="21"/>
        <x:v>0</x:v>
      </x:c>
      <x:c r="G143" s="6"/>
      <x:c r="H143" s="299"/>
      <x:c r="I143" s="3"/>
      <x:c r="J143" s="3"/>
      <x:c r="K143" s="4"/>
      <x:c r="L143" s="4">
        <x:f t="shared" si="24"/>
        <x:v>0</x:v>
      </x:c>
      <x:c r="M143" s="5">
        <x:f t="shared" si="22"/>
        <x:v>0</x:v>
      </x:c>
      <x:c r="N143" s="6"/>
    </x:row>
    <x:row r="144" spans="1:14" ht="20.100000000000001" customHeight="1">
      <x:c r="A144" s="299"/>
      <x:c r="B144" s="3"/>
      <x:c r="C144" s="3"/>
      <x:c r="D144" s="4"/>
      <x:c r="E144" s="4">
        <x:f t="shared" si="23"/>
        <x:v>0</x:v>
      </x:c>
      <x:c r="F144" s="5">
        <x:f t="shared" si="21"/>
        <x:v>0</x:v>
      </x:c>
      <x:c r="G144" s="6"/>
      <x:c r="H144" s="299"/>
      <x:c r="I144" s="3"/>
      <x:c r="J144" s="3"/>
      <x:c r="K144" s="4"/>
      <x:c r="L144" s="4">
        <x:f t="shared" si="24"/>
        <x:v>0</x:v>
      </x:c>
      <x:c r="M144" s="5">
        <x:f t="shared" si="22"/>
        <x:v>0</x:v>
      </x:c>
      <x:c r="N144" s="6"/>
    </x:row>
    <x:row r="145" spans="1:14" ht="20.100000000000001" customHeight="1">
      <x:c r="A145" s="300"/>
      <x:c r="B145" s="3"/>
      <x:c r="C145" s="3"/>
      <x:c r="D145" s="4"/>
      <x:c r="E145" s="4"/>
      <x:c r="F145" s="5"/>
      <x:c r="G145" s="6"/>
      <x:c r="H145" s="300"/>
      <x:c r="I145" s="3"/>
      <x:c r="J145" s="3"/>
      <x:c r="K145" s="4"/>
      <x:c r="L145" s="4">
        <x:f t="shared" si="24"/>
        <x:v>0</x:v>
      </x:c>
      <x:c r="M145" s="5">
        <x:f t="shared" si="22"/>
        <x:v>0</x:v>
      </x:c>
      <x:c r="N145" s="6"/>
    </x:row>
    <x:row r="146" spans="1:14" ht="20.100000000000001" customHeight="1">
      <x:c r="A146" s="7" t="s">
        <x:v>155</x:v>
      </x:c>
      <x:c r="B146" s="8"/>
      <x:c r="C146" s="8"/>
      <x:c r="D146" s="9">
        <x:f>SUM(D130:D145)</x:f>
        <x:v>251765000</x:v>
      </x:c>
      <x:c r="E146" s="9">
        <x:f>SUM(E130:E145)</x:f>
        <x:v>25176500</x:v>
      </x:c>
      <x:c r="F146" s="10">
        <x:f>SUM(F130:F145)</x:f>
        <x:v>276941500</x:v>
      </x:c>
      <x:c r="G146" s="11"/>
      <x:c r="H146" s="7"/>
      <x:c r="I146" s="8"/>
      <x:c r="J146" s="8"/>
      <x:c r="K146" s="9">
        <x:f>SUM(K130:K145)</x:f>
        <x:v>8877778</x:v>
      </x:c>
      <x:c r="L146" s="9">
        <x:f>SUM(L130:L145)</x:f>
        <x:v>887775.80000000005</x:v>
      </x:c>
      <x:c r="M146" s="10">
        <x:f>SUM(M130:M145)</x:f>
        <x:v>9765553.8000000007</x:v>
      </x:c>
      <x:c r="N146" s="11"/>
    </x:row>
    <x:row r="147" spans="1:14" ht="20.100000000000001" customHeight="1">
      <x:c r="A147" s="301" t="s">
        <x:v>153</x:v>
      </x:c>
      <x:c r="B147" s="3" t="s">
        <x:v>1241</x:v>
      </x:c>
      <x:c r="C147" s="3" t="s">
        <x:v>1376</x:v>
      </x:c>
      <x:c r="D147" s="44">
        <x:v>35415000</x:v>
      </x:c>
      <x:c r="E147" s="44"/>
      <x:c r="F147" s="45">
        <x:f>+D147+E147</x:f>
        <x:v>35415000</x:v>
      </x:c>
      <x:c r="G147" s="180" t="s">
        <x:v>258</x:v>
      </x:c>
      <x:c r="H147" s="301" t="s">
        <x:v>153</x:v>
      </x:c>
      <x:c r="I147" s="3"/>
      <x:c r="J147" s="3"/>
      <x:c r="K147" s="4"/>
      <x:c r="L147" s="4">
        <x:f>+K147*0.1</x:f>
        <x:v>0</x:v>
      </x:c>
      <x:c r="M147" s="5">
        <x:f>+K147+L147</x:f>
        <x:v>0</x:v>
      </x:c>
      <x:c r="N147" s="6"/>
    </x:row>
    <x:row r="148" spans="1:14" ht="20.100000000000001" customHeight="1">
      <x:c r="A148" s="299"/>
      <x:c r="B148" s="3"/>
      <x:c r="C148" s="3"/>
      <x:c r="D148" s="44"/>
      <x:c r="E148" s="44">
        <x:f>+D148*0.1</x:f>
        <x:v>0</x:v>
      </x:c>
      <x:c r="F148" s="45">
        <x:f>+D148+E148</x:f>
        <x:v>0</x:v>
      </x:c>
      <x:c r="G148" s="37"/>
      <x:c r="H148" s="299"/>
      <x:c r="I148" s="3"/>
      <x:c r="J148" s="3"/>
      <x:c r="K148" s="4"/>
      <x:c r="L148" s="4">
        <x:f>+K148*0.1</x:f>
        <x:v>0</x:v>
      </x:c>
      <x:c r="M148" s="5">
        <x:f>+K148+L148</x:f>
        <x:v>0</x:v>
      </x:c>
      <x:c r="N148" s="6"/>
    </x:row>
    <x:row r="149" spans="1:14" ht="20.100000000000001" customHeight="1">
      <x:c r="A149" s="299"/>
      <x:c r="B149" s="3"/>
      <x:c r="C149" s="3"/>
      <x:c r="D149" s="4"/>
      <x:c r="E149" s="4">
        <x:f>+D149*0.1</x:f>
        <x:v>0</x:v>
      </x:c>
      <x:c r="F149" s="5">
        <x:f>+D149+E149</x:f>
        <x:v>0</x:v>
      </x:c>
      <x:c r="G149" s="6"/>
      <x:c r="H149" s="299"/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</x:row>
    <x:row r="150" spans="1:14" ht="20.100000000000001" customHeight="1">
      <x:c r="A150" s="300"/>
      <x:c r="B150" s="3"/>
      <x:c r="C150" s="3"/>
      <x:c r="D150" s="4"/>
      <x:c r="E150" s="4">
        <x:f>+D150*0.1</x:f>
        <x:v>0</x:v>
      </x:c>
      <x:c r="F150" s="5">
        <x:f>+D150+E150</x:f>
        <x:v>0</x:v>
      </x:c>
      <x:c r="G150" s="6"/>
      <x:c r="H150" s="300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</x:row>
    <x:row r="151" spans="1:14" ht="20.100000000000001" customHeight="1">
      <x:c r="A151" s="7" t="s">
        <x:v>155</x:v>
      </x:c>
      <x:c r="B151" s="8"/>
      <x:c r="C151" s="8"/>
      <x:c r="D151" s="9">
        <x:f>SUM(D147:D150)</x:f>
        <x:v>35415000</x:v>
      </x:c>
      <x:c r="E151" s="9">
        <x:f>SUM(E147:E150)</x:f>
        <x:v>0</x:v>
      </x:c>
      <x:c r="F151" s="10">
        <x:f>SUM(F147:F150)</x:f>
        <x:v>35415000</x:v>
      </x:c>
      <x:c r="G151" s="11"/>
      <x:c r="H151" s="7"/>
      <x:c r="I151" s="8"/>
      <x:c r="J151" s="8"/>
      <x:c r="K151" s="9">
        <x:f>SUM(K147:K150)</x:f>
        <x:v>0</x:v>
      </x:c>
      <x:c r="L151" s="9">
        <x:f>SUM(L147:L150)</x:f>
        <x:v>0</x:v>
      </x:c>
      <x:c r="M151" s="10">
        <x:f>SUM(M147:M150)</x:f>
        <x:v>0</x:v>
      </x:c>
      <x:c r="N151" s="11"/>
    </x:row>
    <x:row r="152" spans="1:14" ht="20.100000000000001" customHeight="1">
      <x:c r="A152" s="301" t="s">
        <x:v>187</x:v>
      </x:c>
      <x:c r="B152" s="3" t="s">
        <x:v>484</x:v>
      </x:c>
      <x:c r="C152" s="3" t="s">
        <x:v>1373</x:v>
      </x:c>
      <x:c r="D152" s="4">
        <x:f>6800000</x:f>
        <x:v>6800000</x:v>
      </x:c>
      <x:c r="E152" s="4">
        <x:f>+D152*0.1</x:f>
        <x:v>680000</x:v>
      </x:c>
      <x:c r="F152" s="5">
        <x:f>+D152+E152</x:f>
        <x:v>7480000</x:v>
      </x:c>
      <x:c r="G152" s="180" t="s">
        <x:v>258</x:v>
      </x:c>
      <x:c r="H152" s="301" t="s">
        <x:v>187</x:v>
      </x:c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</x:row>
    <x:row r="153" spans="1:14" ht="20.100000000000001" customHeight="1">
      <x:c r="A153" s="299"/>
      <x:c r="B153" s="3" t="s">
        <x:v>482</x:v>
      </x:c>
      <x:c r="C153" s="3" t="s">
        <x:v>1373</x:v>
      </x:c>
      <x:c r="D153" s="4">
        <x:v>1500000</x:v>
      </x:c>
      <x:c r="E153" s="4">
        <x:f>+D153*0.1</x:f>
        <x:v>150000</x:v>
      </x:c>
      <x:c r="F153" s="5">
        <x:f>+D153+E153</x:f>
        <x:v>1650000</x:v>
      </x:c>
      <x:c r="G153" s="180" t="s">
        <x:v>258</x:v>
      </x:c>
      <x:c r="H153" s="299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</x:row>
    <x:row r="154" spans="1:14" ht="20.100000000000001" customHeight="1">
      <x:c r="A154" s="299"/>
      <x:c r="B154" s="3" t="s">
        <x:v>480</x:v>
      </x:c>
      <x:c r="C154" s="3" t="s">
        <x:v>1373</x:v>
      </x:c>
      <x:c r="D154" s="4">
        <x:v>1500000</x:v>
      </x:c>
      <x:c r="E154" s="4">
        <x:f>+D154*0.1</x:f>
        <x:v>150000</x:v>
      </x:c>
      <x:c r="F154" s="5">
        <x:f>+D154+E154</x:f>
        <x:v>1650000</x:v>
      </x:c>
      <x:c r="G154" s="180" t="s">
        <x:v>258</x:v>
      </x:c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</x:row>
    <x:row r="155" spans="1:14" ht="20.100000000000001" customHeight="1">
      <x:c r="A155" s="300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300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</x:row>
    <x:row r="156" spans="1:14" ht="20.100000000000001" customHeight="1">
      <x:c r="A156" s="7" t="s">
        <x:v>155</x:v>
      </x:c>
      <x:c r="B156" s="8"/>
      <x:c r="C156" s="8"/>
      <x:c r="D156" s="9">
        <x:f>SUM(D152:D155)</x:f>
        <x:v>9800000</x:v>
      </x:c>
      <x:c r="E156" s="9">
        <x:f>SUM(E152:E155)</x:f>
        <x:v>980000</x:v>
      </x:c>
      <x:c r="F156" s="10">
        <x:f>SUM(F152:F155)</x:f>
        <x:v>10780000</x:v>
      </x:c>
      <x:c r="G156" s="11"/>
      <x:c r="H156" s="7"/>
      <x:c r="I156" s="8"/>
      <x:c r="J156" s="8"/>
      <x:c r="K156" s="9">
        <x:f>SUM(K152:K155)</x:f>
        <x:v>0</x:v>
      </x:c>
      <x:c r="L156" s="9">
        <x:f>SUM(L152:L155)</x:f>
        <x:v>0</x:v>
      </x:c>
      <x:c r="M156" s="10">
        <x:f>SUM(M152:M155)</x:f>
        <x:v>0</x:v>
      </x:c>
      <x:c r="N156" s="11"/>
    </x:row>
    <x:row r="157" spans="1:14" ht="20.100000000000001" customHeight="1">
      <x:c r="A157" s="301" t="s">
        <x:v>149</x:v>
      </x:c>
      <x:c r="B157" s="3" t="s">
        <x:v>1367</x:v>
      </x:c>
      <x:c r="C157" s="3" t="s">
        <x:v>479</x:v>
      </x:c>
      <x:c r="D157" s="4">
        <x:v>394000</x:v>
      </x:c>
      <x:c r="E157" s="4"/>
      <x:c r="F157" s="5">
        <x:f>+D157+E157</x:f>
        <x:v>394000</x:v>
      </x:c>
      <x:c r="G157" s="6" t="s">
        <x:v>259</x:v>
      </x:c>
      <x:c r="H157" s="301" t="s">
        <x:v>149</x:v>
      </x:c>
      <x:c r="I157" s="3"/>
      <x:c r="J157" s="3"/>
      <x:c r="K157" s="4"/>
      <x:c r="L157" s="4"/>
      <x:c r="M157" s="5">
        <x:f t="shared" ref="M157:M164" si="25">+K157+L157</x:f>
        <x:v>0</x:v>
      </x:c>
      <x:c r="N157" s="6"/>
    </x:row>
    <x:row r="158" spans="1:14" ht="20.100000000000001" customHeight="1">
      <x:c r="A158" s="299"/>
      <x:c r="B158" s="3" t="s">
        <x:v>1367</x:v>
      </x:c>
      <x:c r="C158" s="3" t="s">
        <x:v>487</x:v>
      </x:c>
      <x:c r="D158" s="4">
        <x:v>116100</x:v>
      </x:c>
      <x:c r="E158" s="4"/>
      <x:c r="F158" s="5">
        <x:f>+D158+E158</x:f>
        <x:v>116100</x:v>
      </x:c>
      <x:c r="G158" s="6" t="s">
        <x:v>259</x:v>
      </x:c>
      <x:c r="H158" s="299"/>
      <x:c r="I158" s="3"/>
      <x:c r="J158" s="3"/>
      <x:c r="K158" s="4"/>
      <x:c r="L158" s="4">
        <x:f>+K158*0.1</x:f>
        <x:v>0</x:v>
      </x:c>
      <x:c r="M158" s="5">
        <x:f t="shared" si="25"/>
        <x:v>0</x:v>
      </x:c>
      <x:c r="N158" s="6"/>
    </x:row>
    <x:row r="159" spans="1:14" ht="20.100000000000001" customHeight="1">
      <x:c r="A159" s="299"/>
      <x:c r="B159" s="3" t="s">
        <x:v>1371</x:v>
      </x:c>
      <x:c r="C159" s="3" t="s">
        <x:v>485</x:v>
      </x:c>
      <x:c r="D159" s="4">
        <x:v>350000</x:v>
      </x:c>
      <x:c r="E159" s="4"/>
      <x:c r="F159" s="5">
        <x:f>+D159+E159</x:f>
        <x:v>350000</x:v>
      </x:c>
      <x:c r="G159" s="6" t="s">
        <x:v>259</x:v>
      </x:c>
      <x:c r="H159" s="299"/>
      <x:c r="I159" s="3"/>
      <x:c r="J159" s="3"/>
      <x:c r="K159" s="4"/>
      <x:c r="L159" s="4">
        <x:f>+K159*0.1</x:f>
        <x:v>0</x:v>
      </x:c>
      <x:c r="M159" s="5">
        <x:f t="shared" si="25"/>
        <x:v>0</x:v>
      </x:c>
      <x:c r="N159" s="6"/>
    </x:row>
    <x:row r="160" spans="1:14" ht="20.100000000000001" customHeight="1">
      <x:c r="A160" s="299"/>
      <x:c r="B160" s="3"/>
      <x:c r="C160" s="3"/>
      <x:c r="D160" s="4"/>
      <x:c r="E160" s="4"/>
      <x:c r="F160" s="5">
        <x:f t="shared" ref="F160:F166" si="26"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 t="shared" si="25"/>
        <x:v>0</x:v>
      </x:c>
      <x:c r="N160" s="6"/>
    </x:row>
    <x:row r="161" spans="1:14" ht="20.100000000000001" customHeight="1">
      <x:c r="A161" s="299"/>
      <x:c r="B161" s="3"/>
      <x:c r="C161" s="3"/>
      <x:c r="D161" s="4"/>
      <x:c r="E161" s="4"/>
      <x:c r="F161" s="5">
        <x:f t="shared" si="26"/>
        <x:v>0</x:v>
      </x:c>
      <x:c r="G161" s="6"/>
      <x:c r="H161" s="299"/>
      <x:c r="I161" s="3"/>
      <x:c r="J161" s="3"/>
      <x:c r="K161" s="4"/>
      <x:c r="L161" s="4">
        <x:f t="shared" ref="L161:L166" si="27">+K161*0.1</x:f>
        <x:v>0</x:v>
      </x:c>
      <x:c r="M161" s="5">
        <x:f t="shared" si="25"/>
        <x:v>0</x:v>
      </x:c>
      <x:c r="N161" s="6"/>
    </x:row>
    <x:row r="162" spans="1:14" ht="20.100000000000001" customHeight="1">
      <x:c r="A162" s="299"/>
      <x:c r="B162" s="3"/>
      <x:c r="C162" s="3"/>
      <x:c r="D162" s="4"/>
      <x:c r="E162" s="4"/>
      <x:c r="F162" s="5">
        <x:f t="shared" si="26"/>
        <x:v>0</x:v>
      </x:c>
      <x:c r="G162" s="6"/>
      <x:c r="H162" s="299"/>
      <x:c r="I162" s="3"/>
      <x:c r="J162" s="3"/>
      <x:c r="K162" s="4"/>
      <x:c r="L162" s="4">
        <x:f t="shared" si="27"/>
        <x:v>0</x:v>
      </x:c>
      <x:c r="M162" s="5">
        <x:f t="shared" si="25"/>
        <x:v>0</x:v>
      </x:c>
      <x:c r="N162" s="6"/>
    </x:row>
    <x:row r="163" spans="1:14" ht="20.100000000000001" customHeight="1">
      <x:c r="A163" s="299"/>
      <x:c r="B163" s="3"/>
      <x:c r="C163" s="3"/>
      <x:c r="D163" s="4"/>
      <x:c r="E163" s="4"/>
      <x:c r="F163" s="5">
        <x:f t="shared" si="26"/>
        <x:v>0</x:v>
      </x:c>
      <x:c r="G163" s="6"/>
      <x:c r="H163" s="299"/>
      <x:c r="I163" s="3"/>
      <x:c r="J163" s="3"/>
      <x:c r="K163" s="4"/>
      <x:c r="L163" s="4">
        <x:f t="shared" si="27"/>
        <x:v>0</x:v>
      </x:c>
      <x:c r="M163" s="5">
        <x:f t="shared" si="25"/>
        <x:v>0</x:v>
      </x:c>
      <x:c r="N163" s="6"/>
    </x:row>
    <x:row r="164" spans="1:14" ht="20.100000000000001" customHeight="1">
      <x:c r="A164" s="299"/>
      <x:c r="B164" s="3"/>
      <x:c r="C164" s="3"/>
      <x:c r="D164" s="4"/>
      <x:c r="E164" s="4"/>
      <x:c r="F164" s="5">
        <x:f t="shared" si="26"/>
        <x:v>0</x:v>
      </x:c>
      <x:c r="G164" s="6"/>
      <x:c r="H164" s="299"/>
      <x:c r="I164" s="3"/>
      <x:c r="J164" s="3"/>
      <x:c r="K164" s="4"/>
      <x:c r="L164" s="4">
        <x:f t="shared" si="27"/>
        <x:v>0</x:v>
      </x:c>
      <x:c r="M164" s="5">
        <x:f t="shared" si="25"/>
        <x:v>0</x:v>
      </x:c>
      <x:c r="N164" s="6"/>
    </x:row>
    <x:row r="165" spans="1:14" ht="20.100000000000001" customHeight="1">
      <x:c r="A165" s="299"/>
      <x:c r="B165" s="3"/>
      <x:c r="C165" s="3"/>
      <x:c r="D165" s="4"/>
      <x:c r="E165" s="4"/>
      <x:c r="F165" s="5">
        <x:f t="shared" si="26"/>
        <x:v>0</x:v>
      </x:c>
      <x:c r="G165" s="6"/>
      <x:c r="H165" s="299"/>
      <x:c r="I165" s="3"/>
      <x:c r="J165" s="3"/>
      <x:c r="K165" s="4"/>
      <x:c r="L165" s="4">
        <x:f t="shared" si="27"/>
        <x:v>0</x:v>
      </x:c>
      <x:c r="M165" s="5"/>
      <x:c r="N165" s="6"/>
    </x:row>
    <x:row r="166" spans="1:14" ht="20.100000000000001" customHeight="1">
      <x:c r="A166" s="300"/>
      <x:c r="B166" s="3"/>
      <x:c r="C166" s="3"/>
      <x:c r="D166" s="4"/>
      <x:c r="E166" s="4"/>
      <x:c r="F166" s="5">
        <x:f t="shared" si="26"/>
        <x:v>0</x:v>
      </x:c>
      <x:c r="G166" s="6"/>
      <x:c r="H166" s="300"/>
      <x:c r="I166" s="3"/>
      <x:c r="J166" s="3"/>
      <x:c r="K166" s="4"/>
      <x:c r="L166" s="4">
        <x:f t="shared" si="27"/>
        <x:v>0</x:v>
      </x:c>
      <x:c r="M166" s="5">
        <x:f>+K166+L166</x:f>
        <x:v>0</x:v>
      </x:c>
      <x:c r="N166" s="6"/>
    </x:row>
    <x:row r="167" spans="1:14" ht="20.100000000000001" customHeight="1">
      <x:c r="A167" s="7" t="s">
        <x:v>155</x:v>
      </x:c>
      <x:c r="B167" s="8"/>
      <x:c r="C167" s="8"/>
      <x:c r="D167" s="9">
        <x:f>SUM(D157:D166)</x:f>
        <x:v>860100</x:v>
      </x:c>
      <x:c r="E167" s="9">
        <x:f>SUM(E157:E166)</x:f>
        <x:v>0</x:v>
      </x:c>
      <x:c r="F167" s="10">
        <x:f>SUM(F157:F166)</x:f>
        <x:v>860100</x:v>
      </x:c>
      <x:c r="G167" s="11"/>
      <x:c r="H167" s="7"/>
      <x:c r="I167" s="8"/>
      <x:c r="J167" s="8"/>
      <x:c r="K167" s="9">
        <x:f>SUM(K157:K166)</x:f>
        <x:v>0</x:v>
      </x:c>
      <x:c r="L167" s="9">
        <x:f>SUM(L157:L166)</x:f>
        <x:v>0</x:v>
      </x:c>
      <x:c r="M167" s="10">
        <x:f>SUM(M157:M166)</x:f>
        <x:v>0</x:v>
      </x:c>
      <x:c r="N167" s="11"/>
    </x:row>
    <x:row r="168" spans="1:14" ht="20.100000000000001" customHeight="1">
      <x:c r="A168" s="12" t="s">
        <x:v>1690</x:v>
      </x:c>
      <x:c r="B168" s="13"/>
      <x:c r="C168" s="13"/>
      <x:c r="D168" s="14">
        <x:f>+D146+D151+D156+D167</x:f>
        <x:v>297840100</x:v>
      </x:c>
      <x:c r="E168" s="14">
        <x:f>+E146+E151+E156+E167</x:f>
        <x:v>26156500</x:v>
      </x:c>
      <x:c r="F168" s="15">
        <x:f>+F146+F151+F156+F167</x:f>
        <x:v>323996600</x:v>
      </x:c>
      <x:c r="G168" s="16"/>
      <x:c r="H168" s="12"/>
      <x:c r="I168" s="13"/>
      <x:c r="J168" s="13"/>
      <x:c r="K168" s="14">
        <x:f>+K146+K151+K156+K167</x:f>
        <x:v>8877778</x:v>
      </x:c>
      <x:c r="L168" s="14">
        <x:f>+L146+L151+L156+L167</x:f>
        <x:v>887775.80000000005</x:v>
      </x:c>
      <x:c r="M168" s="15">
        <x:f>+M146+M151+M156+M167</x:f>
        <x:v>9765553.8000000007</x:v>
      </x:c>
      <x:c r="N168" s="16"/>
    </x:row>
    <x:row r="169" spans="1:14" ht="20.100000000000001" customHeight="1">
      <x:c r="A169" s="23" t="s">
        <x:v>35</x:v>
      </x:c>
      <x:c r="B169" s="24"/>
      <x:c r="C169" s="24"/>
      <x:c r="D169" s="25">
        <x:f>+D129-D168</x:f>
        <x:v>-144416100</x:v>
      </x:c>
      <x:c r="E169" s="25">
        <x:f>+E129-E168</x:f>
        <x:v>-10814100</x:v>
      </x:c>
      <x:c r="F169" s="26">
        <x:f>+F129-F168</x:f>
        <x:v>-155230200</x:v>
      </x:c>
      <x:c r="G169" s="27"/>
      <x:c r="H169" s="23"/>
      <x:c r="I169" s="24"/>
      <x:c r="J169" s="24"/>
      <x:c r="K169" s="25">
        <x:f>+K129-K168</x:f>
        <x:v>-8877778</x:v>
      </x:c>
      <x:c r="L169" s="25">
        <x:f>+L129-L168</x:f>
        <x:v>-887775.80000000005</x:v>
      </x:c>
      <x:c r="M169" s="26">
        <x:f>+M129-M168</x:f>
        <x:v>-9765553.8000000007</x:v>
      </x:c>
      <x:c r="N169" s="27"/>
    </x:row>
    <x:row r="172" spans="1:13">
      <x:c r="A172" s="1" t="s">
        <x:v>148</x:v>
      </x:c>
      <x:c r="D172" s="2">
        <x:f>+D17+D60+D103+D146</x:f>
        <x:v>294530450</x:v>
      </x:c>
      <x:c r="E172" s="2">
        <x:f>+E17+E60+E103+E146</x:f>
        <x:v>29453045</x:v>
      </x:c>
      <x:c r="F172" s="2">
        <x:f>+F17+F60+F103+F146</x:f>
        <x:v>323983495</x:v>
      </x:c>
      <x:c r="K172" s="2">
        <x:f>+K17+K60+K103+K146</x:f>
        <x:v>60081358</x:v>
      </x:c>
      <x:c r="L172" s="2">
        <x:f>+L17+L60+L103+L146</x:f>
        <x:v>6008133.7999999998</x:v>
      </x:c>
      <x:c r="M172" s="2">
        <x:f>+M17+M60+M103+M146</x:f>
        <x:v>66089491.799999997</x:v>
      </x:c>
    </x:row>
    <x:row r="173" spans="1:13">
      <x:c r="A173" s="1" t="s">
        <x:v>153</x:v>
      </x:c>
      <x:c r="D173" s="2">
        <x:f>+D22+D65+D108+D151</x:f>
        <x:v>159589000</x:v>
      </x:c>
      <x:c r="E173" s="2">
        <x:f>+E22+E65+E108+E151</x:f>
        <x:v>3842000</x:v>
      </x:c>
      <x:c r="F173" s="2">
        <x:f>+F22+F65+F108+F151</x:f>
        <x:v>163431000</x:v>
      </x:c>
      <x:c r="K173" s="2">
        <x:f>+K22+K65+K108+K151</x:f>
        <x:v>42500000</x:v>
      </x:c>
      <x:c r="L173" s="2">
        <x:f>+L22+L65+L108+L151</x:f>
        <x:v>410000</x:v>
      </x:c>
      <x:c r="M173" s="2">
        <x:f>+M22+M65+M108+M151</x:f>
        <x:v>42910000</x:v>
      </x:c>
    </x:row>
    <x:row r="174" spans="1:13" s="2" customFormat="1">
      <x:c r="A174" s="1" t="s">
        <x:v>187</x:v>
      </x:c>
      <x:c r="B174" s="1"/>
      <x:c r="C174" s="1"/>
      <x:c r="D174" s="2">
        <x:f>+D27+D70+D113+D156</x:f>
        <x:v>10580000</x:v>
      </x:c>
      <x:c r="E174" s="2">
        <x:f>+E27+E70+E113+E156</x:f>
        <x:v>1058000</x:v>
      </x:c>
      <x:c r="F174" s="2">
        <x:f>+F27+F70+F113+F156</x:f>
        <x:v>11638000</x:v>
      </x:c>
      <x:c r="H174" s="1"/>
      <x:c r="I174" s="1"/>
      <x:c r="J174" s="1"/>
      <x:c r="K174" s="2">
        <x:f>+K27+K70+K113+K156</x:f>
        <x:v>840000</x:v>
      </x:c>
      <x:c r="L174" s="2">
        <x:f>+L27+L70+L113+L156</x:f>
        <x:v>84000</x:v>
      </x:c>
      <x:c r="M174" s="2">
        <x:f>+M27+M70+M113+M156</x:f>
        <x:v>924000</x:v>
      </x:c>
    </x:row>
    <x:row r="175" spans="1:13" s="2" customFormat="1">
      <x:c r="A175" s="1" t="s">
        <x:v>149</x:v>
      </x:c>
      <x:c r="B175" s="1"/>
      <x:c r="C175" s="1"/>
      <x:c r="D175" s="2">
        <x:f>+D38+D81+D124+D167</x:f>
        <x:v>7274735</x:v>
      </x:c>
      <x:c r="E175" s="2">
        <x:f>+E38+E81+E124+E167</x:f>
        <x:v>248873.60000000001</x:v>
      </x:c>
      <x:c r="F175" s="2">
        <x:f>+F38+F81+F124+F167</x:f>
        <x:v>7523608.5999999996</x:v>
      </x:c>
      <x:c r="H175" s="1"/>
      <x:c r="I175" s="1"/>
      <x:c r="J175" s="1"/>
      <x:c r="K175" s="2">
        <x:f>+K38+K81+K124+K167</x:f>
        <x:v>6496170</x:v>
      </x:c>
      <x:c r="L175" s="2">
        <x:f>+L38+L81+L124+L167</x:f>
        <x:v>419711.90000000002</x:v>
      </x:c>
      <x:c r="M175" s="2">
        <x:f>+M38+M81+M124+M167</x:f>
        <x:v>6915881.9000000004</x:v>
      </x:c>
    </x:row>
    <x:row r="176" spans="1:13" s="2" customFormat="1">
      <x:c r="A176" s="1" t="s">
        <x:v>202</x:v>
      </x:c>
      <x:c r="B176" s="1"/>
      <x:c r="C176" s="1"/>
      <x:c r="D176" s="2">
        <x:f>SUM(D172:D175)</x:f>
        <x:v>471974185</x:v>
      </x:c>
      <x:c r="E176" s="2">
        <x:f>SUM(E172:E175)</x:f>
        <x:v>34601918.600000001</x:v>
      </x:c>
      <x:c r="F176" s="2">
        <x:f>SUM(F172:F175)</x:f>
        <x:v>506576103.60000002</x:v>
      </x:c>
      <x:c r="H176" s="1"/>
      <x:c r="I176" s="1"/>
      <x:c r="J176" s="1"/>
      <x:c r="K176" s="2">
        <x:f>SUM(K172:K175)</x:f>
        <x:v>109917528</x:v>
      </x:c>
      <x:c r="L176" s="2">
        <x:f>SUM(L172:L175)</x:f>
        <x:v>6921845.7000000002</x:v>
      </x:c>
      <x:c r="M176" s="2">
        <x:f>SUM(M172:M175)</x:f>
        <x:v>116839373.7</x:v>
      </x:c>
    </x:row>
    <x:row r="179" spans="1:10" s="2" customFormat="1">
      <x:c r="A179" s="1" t="s">
        <x:v>148</x:v>
      </x:c>
      <x:c r="B179" s="1"/>
      <x:c r="C179" s="1"/>
      <x:c r="D179" s="2">
        <x:f>+D172+K172</x:f>
        <x:v>354611808</x:v>
      </x:c>
      <x:c r="E179" s="2">
        <x:f>+E172+L172</x:f>
        <x:v>35461178.799999997</x:v>
      </x:c>
      <x:c r="F179" s="2">
        <x:f>+F172+M172</x:f>
        <x:v>390072986.80000001</x:v>
      </x:c>
      <x:c r="H179" s="1"/>
      <x:c r="I179" s="1"/>
      <x:c r="J179" s="1"/>
    </x:row>
    <x:row r="180" spans="1:10" s="2" customFormat="1">
      <x:c r="A180" s="1" t="s">
        <x:v>153</x:v>
      </x:c>
      <x:c r="B180" s="1"/>
      <x:c r="C180" s="1"/>
      <x:c r="D180" s="2">
        <x:f t="shared" ref="D180:F182" si="28">+D173+K173</x:f>
        <x:v>202089000</x:v>
      </x:c>
      <x:c r="E180" s="2">
        <x:f t="shared" si="28"/>
        <x:v>4252000</x:v>
      </x:c>
      <x:c r="F180" s="2">
        <x:f t="shared" si="28"/>
        <x:v>206341000</x:v>
      </x:c>
      <x:c r="H180" s="1"/>
      <x:c r="I180" s="1"/>
      <x:c r="J180" s="1"/>
    </x:row>
    <x:row r="181" spans="1:10" s="2" customFormat="1">
      <x:c r="A181" s="1" t="s">
        <x:v>187</x:v>
      </x:c>
      <x:c r="B181" s="1"/>
      <x:c r="C181" s="1"/>
      <x:c r="D181" s="2">
        <x:f t="shared" si="28"/>
        <x:v>11420000</x:v>
      </x:c>
      <x:c r="E181" s="2">
        <x:f t="shared" si="28"/>
        <x:v>1142000</x:v>
      </x:c>
      <x:c r="F181" s="2">
        <x:f t="shared" si="28"/>
        <x:v>12562000</x:v>
      </x:c>
      <x:c r="H181" s="1"/>
      <x:c r="I181" s="1"/>
      <x:c r="J181" s="1"/>
    </x:row>
    <x:row r="182" spans="1:10" s="2" customFormat="1">
      <x:c r="A182" s="1" t="s">
        <x:v>149</x:v>
      </x:c>
      <x:c r="B182" s="1"/>
      <x:c r="C182" s="1"/>
      <x:c r="D182" s="2">
        <x:f t="shared" si="28"/>
        <x:v>13770905</x:v>
      </x:c>
      <x:c r="E182" s="2">
        <x:f t="shared" si="28"/>
        <x:v>668585.5</x:v>
      </x:c>
      <x:c r="F182" s="2">
        <x:f t="shared" si="28"/>
        <x:v>14439490.5</x:v>
      </x:c>
      <x:c r="H182" s="1"/>
      <x:c r="I182" s="1"/>
      <x:c r="J182" s="1"/>
    </x:row>
    <x:row r="183" spans="1:10" s="2" customFormat="1">
      <x:c r="A183" s="1" t="s">
        <x:v>1019</x:v>
      </x:c>
      <x:c r="B183" s="1"/>
      <x:c r="C183" s="1"/>
      <x:c r="D183" s="2">
        <x:f>SUM(D179:D182)</x:f>
        <x:v>581891713</x:v>
      </x:c>
      <x:c r="E183" s="2">
        <x:f>SUM(E179:E182)</x:f>
        <x:v>41523764.299999997</x:v>
      </x:c>
      <x:c r="F183" s="2">
        <x:f>SUM(F179:F182)</x:f>
        <x:v>623415477.29999995</x:v>
      </x:c>
      <x:c r="H183" s="1"/>
      <x:c r="I183" s="1"/>
      <x:c r="J183" s="1"/>
    </x:row>
    <x:row r="184" spans="1:10" s="2" customFormat="1">
      <x:c r="A184" s="1" t="s">
        <x:v>151</x:v>
      </x:c>
      <x:c r="B184" s="1"/>
      <x:c r="C184" s="1"/>
      <x:c r="D184" s="2">
        <x:f>D4+D43+D86+K4+K43+K86+D129+K129</x:f>
        <x:v>431471000</x:v>
      </x:c>
      <x:c r="E184" s="2">
        <x:f>E4+E43+E86+L4+L43+L86</x:f>
        <x:v>8353000</x:v>
      </x:c>
      <x:c r="F184" s="2">
        <x:f>F4+F43+F86+M4+M43+M86</x:f>
        <x:v>286400000</x:v>
      </x:c>
      <x:c r="H184" s="1"/>
      <x:c r="I184" s="1"/>
      <x:c r="J184" s="1"/>
    </x:row>
    <x:row r="185" spans="1:10" s="2" customFormat="1">
      <x:c r="A185" s="1" t="s">
        <x:v>632</x:v>
      </x:c>
      <x:c r="B185" s="1"/>
      <x:c r="C185" s="1"/>
      <x:c r="D185" s="2">
        <x:f>+D184-D183</x:f>
        <x:v>-150420713</x:v>
      </x:c>
      <x:c r="E185" s="2">
        <x:f>+E184-E183</x:f>
        <x:v>-33170764.299999997</x:v>
      </x:c>
      <x:c r="F185" s="2">
        <x:f>+F184-F183</x:f>
        <x:v>-337015477.29999995</x:v>
      </x:c>
      <x:c r="H185" s="1"/>
      <x:c r="I185" s="1"/>
      <x:c r="J185" s="1"/>
    </x:row>
  </x:sheetData>
  <x:mergeCells count="42">
    <x:mergeCell ref="A1:N1"/>
    <x:mergeCell ref="O1:T1"/>
    <x:mergeCell ref="A2:G2"/>
    <x:mergeCell ref="H2:N2"/>
    <x:mergeCell ref="A5:A16"/>
    <x:mergeCell ref="H5:H16"/>
    <x:mergeCell ref="A18:A21"/>
    <x:mergeCell ref="H18:H21"/>
    <x:mergeCell ref="A23:A26"/>
    <x:mergeCell ref="H23:H26"/>
    <x:mergeCell ref="A28:A37"/>
    <x:mergeCell ref="H28:H37"/>
    <x:mergeCell ref="A41:G41"/>
    <x:mergeCell ref="H41:N41"/>
    <x:mergeCell ref="A44:A59"/>
    <x:mergeCell ref="H44:H59"/>
    <x:mergeCell ref="A61:A64"/>
    <x:mergeCell ref="H61:H64"/>
    <x:mergeCell ref="A66:A69"/>
    <x:mergeCell ref="H66:H69"/>
    <x:mergeCell ref="A71:A80"/>
    <x:mergeCell ref="H71:H80"/>
    <x:mergeCell ref="A84:G84"/>
    <x:mergeCell ref="H84:N84"/>
    <x:mergeCell ref="A87:A102"/>
    <x:mergeCell ref="H87:H102"/>
    <x:mergeCell ref="A104:A107"/>
    <x:mergeCell ref="H104:H107"/>
    <x:mergeCell ref="A109:A112"/>
    <x:mergeCell ref="H109:H112"/>
    <x:mergeCell ref="A114:A123"/>
    <x:mergeCell ref="H114:H123"/>
    <x:mergeCell ref="A127:G127"/>
    <x:mergeCell ref="H127:N127"/>
    <x:mergeCell ref="A130:A145"/>
    <x:mergeCell ref="H130:H145"/>
    <x:mergeCell ref="A147:A150"/>
    <x:mergeCell ref="H147:H150"/>
    <x:mergeCell ref="A152:A155"/>
    <x:mergeCell ref="H152:H155"/>
    <x:mergeCell ref="A157:A166"/>
    <x:mergeCell ref="H157:H16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0" min="0" max="1048575" man="1" pt="0"/>
    <x:brk id="83" min="0" max="1048575" man="1" pt="0"/>
    <x:brk id="126" min="0" max="1048575" man="1" pt="0"/>
  </x:rowBreaks>
</x:worksheet>
</file>

<file path=xl/worksheets/sheet5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5"/>
  <x:dimension ref="A1:S115"/>
  <x:sheetViews>
    <x:sheetView view="pageBreakPreview" topLeftCell="A1" zoomScaleNormal="100" zoomScaleSheetLayoutView="100" workbookViewId="0">
      <x:selection activeCell="I12" activeCellId="0" sqref="I12:I12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1798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90"/>
      <x:c r="C2" s="190"/>
      <x:c r="D2" s="190"/>
      <x:c r="E2" s="190"/>
      <x:c r="F2" s="190"/>
      <x:c r="G2" s="190"/>
      <x:c r="H2" s="190"/>
      <x:c r="I2" s="190"/>
      <x:c r="J2" s="190"/>
      <x:c r="K2" s="190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92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'21년05월(세부내역)'!D4</x:f>
        <x:v>232660000</x:v>
      </x:c>
      <x:c r="F5" s="67">
        <x:f>'21년05월(세부내역)'!D17</x:f>
        <x:v>57088286</x:v>
      </x:c>
      <x:c r="G5" s="67">
        <x:f>'21년05월(세부내역)'!D23</x:f>
        <x:v>103745500</x:v>
      </x:c>
      <x:c r="H5" s="67">
        <x:f>'21년05월(세부내역)'!D28</x:f>
        <x:v>939000</x:v>
      </x:c>
      <x:c r="I5" s="67">
        <x:f>'21년05월(세부내역)'!D40</x:f>
        <x:v>6658975</x:v>
      </x:c>
      <x:c r="J5" s="75">
        <x:f t="shared" ref="J5:J12" si="0">+SUM(F5:I5)</x:f>
        <x:v>168431761</x:v>
      </x:c>
      <x:c r="K5" s="141">
        <x:f t="shared" ref="K5:K11" si="1">E5-J5</x:f>
        <x:v>64228239</x:v>
      </x:c>
      <x:c r="L5" s="119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109</x:v>
      </x:c>
      <x:c r="E6" s="74">
        <x:f>'21년05월(세부내역)'!K4</x:f>
        <x:v>39910000</x:v>
      </x:c>
      <x:c r="F6" s="59">
        <x:f>+'21년05월(세부내역)'!K17</x:f>
        <x:v>7307122</x:v>
      </x:c>
      <x:c r="G6" s="59">
        <x:f>'21년05월(세부내역)'!K23</x:f>
        <x:v>21140000</x:v>
      </x:c>
      <x:c r="H6" s="59">
        <x:f>'21년05월(세부내역)'!K28</x:f>
        <x:v>1500000</x:v>
      </x:c>
      <x:c r="I6" s="59">
        <x:f>'21년05월(세부내역)'!K40</x:f>
        <x:v>4333050</x:v>
      </x:c>
      <x:c r="J6" s="75">
        <x:f t="shared" si="0"/>
        <x:v>34280172</x:v>
      </x:c>
      <x:c r="K6" s="140">
        <x:f t="shared" si="1"/>
        <x:v>5629828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'21년05월(세부내역)'!K45</x:f>
        <x:v>0</x:v>
      </x:c>
      <x:c r="F7" s="59">
        <x:f>'21년05월(세부내역)'!K62</x:f>
        <x:v>198370</x:v>
      </x:c>
      <x:c r="G7" s="59">
        <x:f>'21년05월(세부내역)'!K67</x:f>
        <x:v>21450000</x:v>
      </x:c>
      <x:c r="H7" s="59">
        <x:f>'21년05월(세부내역)'!K72</x:f>
        <x:v>0</x:v>
      </x:c>
      <x:c r="I7" s="59">
        <x:f>'21년05월(세부내역)'!K83</x:f>
        <x:v>2019893</x:v>
      </x:c>
      <x:c r="J7" s="75">
        <x:f t="shared" si="0"/>
        <x:v>23668263</x:v>
      </x:c>
      <x:c r="K7" s="141">
        <x:f t="shared" si="1"/>
        <x:v>-23668263</x:v>
      </x:c>
      <x:c r="L7" s="119"/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95</x:v>
      </x:c>
      <x:c r="E8" s="74">
        <x:f>'21년05월(세부내역)'!D88</x:f>
        <x:v>12000000</x:v>
      </x:c>
      <x:c r="F8" s="59">
        <x:f>'21년05월(세부내역)'!D105</x:f>
        <x:v>6900610</x:v>
      </x:c>
      <x:c r="G8" s="59">
        <x:f>'21년05월(세부내역)'!D110</x:f>
        <x:v>9140000</x:v>
      </x:c>
      <x:c r="H8" s="59">
        <x:f>'21년05월(세부내역)'!D115</x:f>
        <x:v>486000</x:v>
      </x:c>
      <x:c r="I8" s="59">
        <x:f>'21년05월(세부내역)'!D126</x:f>
        <x:v>1430736</x:v>
      </x:c>
      <x:c r="J8" s="75">
        <x:f t="shared" si="0"/>
        <x:v>17957346</x:v>
      </x:c>
      <x:c r="K8" s="141">
        <x:f t="shared" si="1"/>
        <x:v>-5957346</x:v>
      </x:c>
      <x:c r="L8" s="119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'21년05월(세부내역)'!K88</x:f>
        <x:v>10000000</x:v>
      </x:c>
      <x:c r="F9" s="59">
        <x:f>'21년05월(세부내역)'!K105</x:f>
        <x:v>2695500</x:v>
      </x:c>
      <x:c r="G9" s="59">
        <x:f>'21년05월(세부내역)'!K110</x:f>
        <x:v>6035000</x:v>
      </x:c>
      <x:c r="H9" s="59">
        <x:f>'21년05월(세부내역)'!K115</x:f>
        <x:v>0</x:v>
      </x:c>
      <x:c r="I9" s="59">
        <x:f>'21년05월(세부내역)'!K126</x:f>
        <x:v>807470</x:v>
      </x:c>
      <x:c r="J9" s="75">
        <x:f t="shared" si="0"/>
        <x:v>9537970</x:v>
      </x:c>
      <x:c r="K9" s="141">
        <x:f t="shared" si="1"/>
        <x:v>462030</x:v>
      </x:c>
      <x:c r="L9" s="119"/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'21년05월(세부내역)'!D131</x:f>
        <x:v>343943000</x:v>
      </x:c>
      <x:c r="F10" s="59">
        <x:f>'21년05월(세부내역)'!D148</x:f>
        <x:v>170473000</x:v>
      </x:c>
      <x:c r="G10" s="59">
        <x:f>'21년05월(세부내역)'!D153</x:f>
        <x:v>16580000</x:v>
      </x:c>
      <x:c r="H10" s="59">
        <x:f>'21년05월(세부내역)'!D158</x:f>
        <x:v>5300000</x:v>
      </x:c>
      <x:c r="I10" s="59">
        <x:f>'21년05월(세부내역)'!D169</x:f>
        <x:v>6160</x:v>
      </x:c>
      <x:c r="J10" s="75">
        <x:f t="shared" si="0"/>
        <x:v>192359160</x:v>
      </x:c>
      <x:c r="K10" s="141">
        <x:f t="shared" si="1"/>
        <x:v>151583840</x:v>
      </x:c>
      <x:c r="L10" s="119"/>
    </x:row>
    <x:row r="11" spans="1:12" ht="30" customHeight="1">
      <x:c r="A11" s="63">
        <x:v>7</x:v>
      </x:c>
      <x:c r="B11" s="63" t="s">
        <x:v>469</x:v>
      </x:c>
      <x:c r="C11" s="63" t="s">
        <x:v>156</x:v>
      </x:c>
      <x:c r="D11" s="115" t="s">
        <x:v>481</x:v>
      </x:c>
      <x:c r="E11" s="74">
        <x:f>'21년05월(세부내역)'!K131</x:f>
        <x:v>0</x:v>
      </x:c>
      <x:c r="F11" s="59">
        <x:f>'21년05월(세부내역)'!K148</x:f>
        <x:v>0</x:v>
      </x:c>
      <x:c r="G11" s="59">
        <x:f>+'21년05월(세부내역)'!K153</x:f>
        <x:v>0</x:v>
      </x:c>
      <x:c r="H11" s="59">
        <x:f>+'21년05월(세부내역)'!K158</x:f>
        <x:v>0</x:v>
      </x:c>
      <x:c r="I11" s="59">
        <x:f>+'21년05월(세부내역)'!K169</x:f>
        <x:v>0</x:v>
      </x:c>
      <x:c r="J11" s="75">
        <x:f t="shared" si="0"/>
        <x:v>0</x:v>
      </x:c>
      <x:c r="K11" s="141">
        <x:f t="shared" si="1"/>
        <x:v>0</x:v>
      </x:c>
      <x:c r="L11" s="119"/>
    </x:row>
    <x:row r="12" spans="1:12" ht="30" customHeight="1">
      <x:c r="A12" s="63">
        <x:v>8</x:v>
      </x:c>
      <x:c r="B12" s="63" t="s">
        <x:v>410</x:v>
      </x:c>
      <x:c r="C12" s="63" t="s">
        <x:v>488</x:v>
      </x:c>
      <x:c r="D12" s="115" t="s">
        <x:v>132</x:v>
      </x:c>
      <x:c r="E12" s="74">
        <x:f>'21년05월(세부내역)'!D45</x:f>
        <x:v>0</x:v>
      </x:c>
      <x:c r="F12" s="59">
        <x:f>+'21년05월(세부내역)'!D62</x:f>
        <x:v>0</x:v>
      </x:c>
      <x:c r="G12" s="59">
        <x:f>'21년05월(세부내역)'!D67</x:f>
        <x:v>4700000</x:v>
      </x:c>
      <x:c r="H12" s="59">
        <x:f>'21년05월(세부내역)'!D72</x:f>
        <x:v>0</x:v>
      </x:c>
      <x:c r="I12" s="59">
        <x:f>'21년05월(세부내역)'!D83</x:f>
        <x:v>910800</x:v>
      </x:c>
      <x:c r="J12" s="75">
        <x:f t="shared" si="0"/>
        <x:v>5610800</x:v>
      </x:c>
      <x:c r="K12" s="141">
        <x:f>E12-J12</x:f>
        <x:v>-5610800</x:v>
      </x:c>
      <x:c r="L12" s="119"/>
    </x:row>
    <x:row r="13" spans="1:12" ht="30" customHeight="1">
      <x:c r="A13" s="64"/>
      <x:c r="B13" s="64" t="s">
        <x:v>1690</x:v>
      </x:c>
      <x:c r="C13" s="64"/>
      <x:c r="D13" s="64"/>
      <x:c r="E13" s="68">
        <x:f>SUM(E5:E12)</x:f>
        <x:v>638513000</x:v>
      </x:c>
      <x:c r="F13" s="66">
        <x:f t="shared" ref="F13:K13" si="2">SUM(F5:F12)</x:f>
        <x:v>244662888</x:v>
      </x:c>
      <x:c r="G13" s="66">
        <x:f t="shared" si="2"/>
        <x:v>182790500</x:v>
      </x:c>
      <x:c r="H13" s="66">
        <x:f t="shared" si="2"/>
        <x:v>8225000</x:v>
      </x:c>
      <x:c r="I13" s="66">
        <x:f t="shared" si="2"/>
        <x:v>16167084</x:v>
      </x:c>
      <x:c r="J13" s="69">
        <x:f t="shared" si="2"/>
        <x:v>451845472</x:v>
      </x:c>
      <x:c r="K13" s="142">
        <x:f t="shared" si="2"/>
        <x:v>186667528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5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6"/>
  <x:dimension ref="A1:U187"/>
  <x:sheetViews>
    <x:sheetView view="pageBreakPreview" topLeftCell="A160" zoomScaleNormal="100" zoomScaleSheetLayoutView="100" workbookViewId="0">
      <x:selection activeCell="K76" activeCellId="0" sqref="K76:K76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0" width="10.875" style="2" customWidth="1"/>
    <x:col min="21" max="21" width="11.875" style="1" customWidth="1"/>
  </x:cols>
  <x:sheetData>
    <x:row r="1" spans="1:20" ht="38.25" customHeight="1">
      <x:c r="A1" s="286" t="s">
        <x:v>1787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</x:row>
    <x:row r="2" spans="1:21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4" t="s">
        <x:v>282</x:v>
      </x:c>
    </x:row>
    <x:row r="3" spans="1:21" ht="20.100000000000001" customHeight="1">
      <x:c r="A3" s="29" t="s">
        <x:v>147</x:v>
      </x:c>
      <x:c r="B3" s="192" t="s">
        <x:v>144</x:v>
      </x:c>
      <x:c r="C3" s="192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92" t="s">
        <x:v>144</x:v>
      </x:c>
      <x:c r="J3" s="192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5"/>
    </x:row>
    <x:row r="4" spans="1:21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232660000</x:v>
      </x:c>
      <x:c r="E4" s="39">
        <x:v>7340000</x:v>
      </x:c>
      <x:c r="F4" s="40">
        <x:f>+D4+E4</x:f>
        <x:v>240000000</x:v>
      </x:c>
      <x:c r="G4" s="42"/>
      <x:c r="H4" s="191" t="s">
        <x:v>151</x:v>
      </x:c>
      <x:c r="I4" s="38" t="s">
        <x:v>1679</x:v>
      </x:c>
      <x:c r="J4" s="38" t="s">
        <x:v>1030</x:v>
      </x:c>
      <x:c r="K4" s="39">
        <x:v>39910000</x:v>
      </x:c>
      <x:c r="L4" s="39">
        <x:v>90000</x:v>
      </x:c>
      <x:c r="M4" s="40">
        <x:f>+K4+L4</x:f>
        <x:v>40000000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6"/>
    </x:row>
    <x:row r="5" spans="1:21" ht="20.100000000000001" customHeight="1">
      <x:c r="A5" s="298" t="s">
        <x:v>148</x:v>
      </x:c>
      <x:c r="B5" s="165" t="s">
        <x:v>867</x:v>
      </x:c>
      <x:c r="C5" s="166" t="s">
        <x:v>384</x:v>
      </x:c>
      <x:c r="D5" s="167">
        <x:v>-73700606</x:v>
      </x:c>
      <x:c r="E5" s="167">
        <x:f t="shared" ref="E5:E16" si="0">+D5*0.1</x:f>
        <x:v>-7370060.6000000006</x:v>
      </x:c>
      <x:c r="F5" s="168">
        <x:f t="shared" ref="F5:F16" si="1">+D5+E5</x:f>
        <x:v>-81070666.599999994</x:v>
      </x:c>
      <x:c r="G5" s="169" t="s">
        <x:v>1305</x:v>
      </x:c>
      <x:c r="H5" s="298" t="s">
        <x:v>148</x:v>
      </x:c>
      <x:c r="I5" s="19" t="s">
        <x:v>838</x:v>
      </x:c>
      <x:c r="J5" s="19" t="s">
        <x:v>1055</x:v>
      </x:c>
      <x:c r="K5" s="20">
        <x:v>52000</x:v>
      </x:c>
      <x:c r="L5" s="20">
        <x:f t="shared" ref="L5:L13" si="2">+K5*0.1</x:f>
        <x:v>5200</x:v>
      </x:c>
      <x:c r="M5" s="21">
        <x:f t="shared" ref="M5:M22" si="3">+K5+L5</x:f>
        <x:v>57200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5">
        <x:f>+$O$5-(Q5+R5+S5+T5)</x:f>
        <x:v>98146354</x:v>
      </x:c>
    </x:row>
    <x:row r="6" spans="1:14" ht="20.100000000000001" customHeight="1">
      <x:c r="A6" s="299"/>
      <x:c r="B6" s="178" t="s">
        <x:v>902</x:v>
      </x:c>
      <x:c r="C6" s="178" t="s">
        <x:v>1110</x:v>
      </x:c>
      <x:c r="D6" s="163">
        <x:v>23078440</x:v>
      </x:c>
      <x:c r="E6" s="163">
        <x:f t="shared" si="0"/>
        <x:v>2307844</x:v>
      </x:c>
      <x:c r="F6" s="164">
        <x:f t="shared" si="1"/>
        <x:v>25386284</x:v>
      </x:c>
      <x:c r="G6" s="180"/>
      <x:c r="H6" s="299"/>
      <x:c r="I6" s="3" t="s">
        <x:v>867</x:v>
      </x:c>
      <x:c r="J6" s="3" t="s">
        <x:v>399</x:v>
      </x:c>
      <x:c r="K6" s="4">
        <x:v>3376822</x:v>
      </x:c>
      <x:c r="L6" s="4">
        <x:f>+INT(K6*0.1)</x:f>
        <x:v>337682</x:v>
      </x:c>
      <x:c r="M6" s="5">
        <x:f t="shared" si="3"/>
        <x:v>3714504</x:v>
      </x:c>
      <x:c r="N6" s="6"/>
    </x:row>
    <x:row r="7" spans="1:14" ht="20.100000000000001" customHeight="1">
      <x:c r="A7" s="299"/>
      <x:c r="B7" s="162" t="s">
        <x:v>867</x:v>
      </x:c>
      <x:c r="C7" s="162" t="s">
        <x:v>384</x:v>
      </x:c>
      <x:c r="D7" s="44">
        <x:v>73700606</x:v>
      </x:c>
      <x:c r="E7" s="44">
        <x:f t="shared" si="0"/>
        <x:v>7370060.6000000006</x:v>
      </x:c>
      <x:c r="F7" s="45">
        <x:f t="shared" si="1"/>
        <x:v>81070666.599999994</x:v>
      </x:c>
      <x:c r="G7" s="179"/>
      <x:c r="H7" s="299"/>
      <x:c r="I7" s="3" t="s">
        <x:v>854</x:v>
      </x:c>
      <x:c r="J7" s="3" t="s">
        <x:v>1200</x:v>
      </x:c>
      <x:c r="K7" s="4">
        <x:v>102100</x:v>
      </x:c>
      <x:c r="L7" s="4">
        <x:f>+K7*0.1</x:f>
        <x:v>10210</x:v>
      </x:c>
      <x:c r="M7" s="5">
        <x:f t="shared" si="3"/>
        <x:v>112310</x:v>
      </x:c>
      <x:c r="N7" s="6"/>
    </x:row>
    <x:row r="8" spans="1:14" ht="20.100000000000001" customHeight="1">
      <x:c r="A8" s="299"/>
      <x:c r="B8" s="3" t="s">
        <x:v>1348</x:v>
      </x:c>
      <x:c r="C8" s="3" t="s">
        <x:v>401</x:v>
      </x:c>
      <x:c r="D8" s="4">
        <x:v>1137600</x:v>
      </x:c>
      <x:c r="E8" s="4">
        <x:f t="shared" si="0"/>
        <x:v>113760</x:v>
      </x:c>
      <x:c r="F8" s="5">
        <x:f t="shared" si="1"/>
        <x:v>1251360</x:v>
      </x:c>
      <x:c r="G8" s="37"/>
      <x:c r="H8" s="299"/>
      <x:c r="I8" s="3" t="s">
        <x:v>1315</x:v>
      </x:c>
      <x:c r="J8" s="3"/>
      <x:c r="K8" s="4"/>
      <x:c r="L8" s="4">
        <x:f>+(K8*0.1)</x:f>
        <x:v>0</x:v>
      </x:c>
      <x:c r="M8" s="5">
        <x:f t="shared" si="3"/>
        <x:v>0</x:v>
      </x:c>
      <x:c r="N8" s="6"/>
    </x:row>
    <x:row r="9" spans="1:14" ht="20.100000000000001" customHeight="1">
      <x:c r="A9" s="299"/>
      <x:c r="B9" s="3" t="s">
        <x:v>938</x:v>
      </x:c>
      <x:c r="C9" s="162" t="s">
        <x:v>1094</x:v>
      </x:c>
      <x:c r="D9" s="4">
        <x:v>525000</x:v>
      </x:c>
      <x:c r="E9" s="4">
        <x:f t="shared" si="0"/>
        <x:v>52500</x:v>
      </x:c>
      <x:c r="F9" s="5">
        <x:f t="shared" si="1"/>
        <x:v>577500</x:v>
      </x:c>
      <x:c r="G9" s="37"/>
      <x:c r="H9" s="299"/>
      <x:c r="I9" s="3" t="s">
        <x:v>1058</x:v>
      </x:c>
      <x:c r="J9" s="3"/>
      <x:c r="K9" s="4"/>
      <x:c r="L9" s="4">
        <x:f>INT(K9*0.1)</x:f>
        <x:v>0</x:v>
      </x:c>
      <x:c r="M9" s="5">
        <x:f t="shared" si="3"/>
        <x:v>0</x:v>
      </x:c>
      <x:c r="N9" s="6"/>
    </x:row>
    <x:row r="10" spans="1:14" ht="20.100000000000001" customHeight="1">
      <x:c r="A10" s="299"/>
      <x:c r="B10" s="3" t="s">
        <x:v>907</x:v>
      </x:c>
      <x:c r="C10" s="162" t="s">
        <x:v>1416</x:v>
      </x:c>
      <x:c r="D10" s="163">
        <x:v>3800000</x:v>
      </x:c>
      <x:c r="E10" s="4">
        <x:f t="shared" si="0"/>
        <x:v>380000</x:v>
      </x:c>
      <x:c r="F10" s="45">
        <x:f t="shared" si="1"/>
        <x:v>4180000</x:v>
      </x:c>
      <x:c r="G10" s="6" t="s">
        <x:v>1394</x:v>
      </x:c>
      <x:c r="H10" s="299"/>
      <x:c r="I10" s="3" t="s">
        <x:v>1348</x:v>
      </x:c>
      <x:c r="J10" s="3" t="s">
        <x:v>279</x:v>
      </x:c>
      <x:c r="K10" s="4">
        <x:v>36450</x:v>
      </x:c>
      <x:c r="L10" s="4">
        <x:f t="shared" si="2"/>
        <x:v>3645</x:v>
      </x:c>
      <x:c r="M10" s="5">
        <x:f t="shared" si="3"/>
        <x:v>40095</x:v>
      </x:c>
      <x:c r="N10" s="6"/>
    </x:row>
    <x:row r="11" spans="1:14" ht="20.100000000000001" customHeight="1">
      <x:c r="A11" s="299"/>
      <x:c r="B11" s="3" t="s">
        <x:v>1119</x:v>
      </x:c>
      <x:c r="C11" s="162" t="s">
        <x:v>717</x:v>
      </x:c>
      <x:c r="D11" s="163">
        <x:v>1658800</x:v>
      </x:c>
      <x:c r="E11" s="4">
        <x:f t="shared" si="0"/>
        <x:v>165880</x:v>
      </x:c>
      <x:c r="F11" s="45">
        <x:f t="shared" si="1"/>
        <x:v>1824680</x:v>
      </x:c>
      <x:c r="G11" s="37"/>
      <x:c r="H11" s="299"/>
      <x:c r="I11" s="3" t="s">
        <x:v>846</x:v>
      </x:c>
      <x:c r="J11" s="3" t="s">
        <x:v>1178</x:v>
      </x:c>
      <x:c r="K11" s="4">
        <x:v>67750</x:v>
      </x:c>
      <x:c r="L11" s="4">
        <x:f t="shared" si="2"/>
        <x:v>6775</x:v>
      </x:c>
      <x:c r="M11" s="5">
        <x:f t="shared" si="3"/>
        <x:v>74525</x:v>
      </x:c>
      <x:c r="N11" s="6"/>
    </x:row>
    <x:row r="12" spans="1:14" ht="20.100000000000001" customHeight="1">
      <x:c r="A12" s="299"/>
      <x:c r="B12" s="3" t="s">
        <x:v>846</x:v>
      </x:c>
      <x:c r="C12" s="3" t="s">
        <x:v>1178</x:v>
      </x:c>
      <x:c r="D12" s="4">
        <x:v>1463000</x:v>
      </x:c>
      <x:c r="E12" s="4">
        <x:f t="shared" si="0"/>
        <x:v>146300</x:v>
      </x:c>
      <x:c r="F12" s="5">
        <x:f t="shared" si="1"/>
        <x:v>1609300</x:v>
      </x:c>
      <x:c r="G12" s="37"/>
      <x:c r="H12" s="299"/>
      <x:c r="I12" s="3" t="s">
        <x:v>846</x:v>
      </x:c>
      <x:c r="J12" s="3" t="s">
        <x:v>1094</x:v>
      </x:c>
      <x:c r="K12" s="4">
        <x:v>462000</x:v>
      </x:c>
      <x:c r="L12" s="4">
        <x:f t="shared" si="2"/>
        <x:v>46200</x:v>
      </x:c>
      <x:c r="M12" s="5">
        <x:f t="shared" si="3"/>
        <x:v>508200</x:v>
      </x:c>
      <x:c r="N12" s="6"/>
    </x:row>
    <x:row r="13" spans="1:14" ht="20.100000000000001" customHeight="1">
      <x:c r="A13" s="299"/>
      <x:c r="B13" s="178" t="s">
        <x:v>902</x:v>
      </x:c>
      <x:c r="C13" s="3" t="s">
        <x:v>1116</x:v>
      </x:c>
      <x:c r="D13" s="4">
        <x:v>25425446</x:v>
      </x:c>
      <x:c r="E13" s="4">
        <x:f t="shared" si="0"/>
        <x:v>2542544.6000000001</x:v>
      </x:c>
      <x:c r="F13" s="5">
        <x:f t="shared" si="1"/>
        <x:v>27967990.600000001</x:v>
      </x:c>
      <x:c r="G13" s="6" t="s">
        <x:v>1394</x:v>
      </x:c>
      <x:c r="H13" s="299"/>
      <x:c r="I13" s="3" t="s">
        <x:v>967</x:v>
      </x:c>
      <x:c r="J13" s="3" t="s">
        <x:v>1337</x:v>
      </x:c>
      <x:c r="K13" s="4"/>
      <x:c r="L13" s="4">
        <x:f t="shared" si="2"/>
        <x:v>0</x:v>
      </x:c>
      <x:c r="M13" s="5">
        <x:f t="shared" si="3"/>
        <x:v>0</x:v>
      </x:c>
      <x:c r="N13" s="6"/>
    </x:row>
    <x:row r="14" spans="1:14" ht="20.100000000000001" customHeight="1">
      <x:c r="A14" s="299"/>
      <x:c r="B14" s="162"/>
      <x:c r="C14" s="162"/>
      <x:c r="D14" s="163"/>
      <x:c r="E14" s="4"/>
      <x:c r="F14" s="45">
        <x:f t="shared" si="1"/>
        <x:v>0</x:v>
      </x:c>
      <x:c r="G14" s="37"/>
      <x:c r="H14" s="299"/>
      <x:c r="I14" s="3" t="s">
        <x:v>1016</x:v>
      </x:c>
      <x:c r="J14" s="3" t="s">
        <x:v>1231</x:v>
      </x:c>
      <x:c r="K14" s="4">
        <x:v>3000000</x:v>
      </x:c>
      <x:c r="L14" s="4">
        <x:f>INT(K14*0.1)</x:f>
        <x:v>300000</x:v>
      </x:c>
      <x:c r="M14" s="5">
        <x:f t="shared" si="3"/>
        <x:v>3300000</x:v>
      </x:c>
      <x:c r="N14" s="6"/>
    </x:row>
    <x:row r="15" spans="1:14" ht="20.100000000000001" customHeight="1">
      <x:c r="A15" s="299"/>
      <x:c r="B15" s="3"/>
      <x:c r="C15" s="3"/>
      <x:c r="D15" s="4"/>
      <x:c r="E15" s="4">
        <x:f t="shared" si="0"/>
        <x:v>0</x:v>
      </x:c>
      <x:c r="F15" s="45">
        <x:f t="shared" si="1"/>
        <x:v>0</x:v>
      </x:c>
      <x:c r="G15" s="6"/>
      <x:c r="H15" s="299"/>
      <x:c r="I15" s="3" t="s">
        <x:v>1039</x:v>
      </x:c>
      <x:c r="J15" s="3" t="s">
        <x:v>1194</x:v>
      </x:c>
      <x:c r="K15" s="4">
        <x:v>210000</x:v>
      </x:c>
      <x:c r="L15" s="4">
        <x:f>K15*0.1</x:f>
        <x:v>21000</x:v>
      </x:c>
      <x:c r="M15" s="5">
        <x:f t="shared" si="3"/>
        <x:v>231000</x:v>
      </x:c>
      <x:c r="N15" s="6"/>
    </x:row>
    <x:row r="16" spans="1:14" ht="20.100000000000001" customHeight="1">
      <x:c r="A16" s="300"/>
      <x:c r="B16" s="3"/>
      <x:c r="C16" s="3"/>
      <x:c r="D16" s="4"/>
      <x:c r="E16" s="4">
        <x:f t="shared" si="0"/>
        <x:v>0</x:v>
      </x:c>
      <x:c r="F16" s="45">
        <x:f t="shared" si="1"/>
        <x:v>0</x:v>
      </x:c>
      <x:c r="G16" s="6"/>
      <x:c r="H16" s="300"/>
      <x:c r="I16" s="3"/>
      <x:c r="J16" s="3"/>
      <x:c r="K16" s="4"/>
      <x:c r="L16" s="4">
        <x:f>K16*0.1</x:f>
        <x:v>0</x:v>
      </x:c>
      <x:c r="M16" s="5">
        <x:f t="shared" si="3"/>
        <x:v>0</x:v>
      </x:c>
      <x:c r="N16" s="6"/>
    </x:row>
    <x:row r="17" spans="1:14" ht="20.100000000000001" customHeight="1">
      <x:c r="A17" s="7" t="s">
        <x:v>155</x:v>
      </x:c>
      <x:c r="B17" s="8"/>
      <x:c r="C17" s="8"/>
      <x:c r="D17" s="9">
        <x:f>SUM(D5:D16)</x:f>
        <x:v>57088286</x:v>
      </x:c>
      <x:c r="E17" s="9">
        <x:f>SUM(E5:E16)</x:f>
        <x:v>5708828.5999999996</x:v>
      </x:c>
      <x:c r="F17" s="10">
        <x:f>SUM(F5:F16)</x:f>
        <x:v>62797114.600000001</x:v>
      </x:c>
      <x:c r="G17" s="11"/>
      <x:c r="H17" s="7"/>
      <x:c r="I17" s="8"/>
      <x:c r="J17" s="8"/>
      <x:c r="K17" s="9">
        <x:f>SUM(K5:K16)</x:f>
        <x:v>7307122</x:v>
      </x:c>
      <x:c r="L17" s="9">
        <x:f>SUM(L5:L16)</x:f>
        <x:v>730712</x:v>
      </x:c>
      <x:c r="M17" s="10">
        <x:f>SUM(M5:M16)</x:f>
        <x:v>8037834</x:v>
      </x:c>
      <x:c r="N17" s="11"/>
    </x:row>
    <x:row r="18" spans="1:14" ht="20.100000000000001" customHeight="1">
      <x:c r="A18" s="301" t="s">
        <x:v>153</x:v>
      </x:c>
      <x:c r="B18" s="3" t="s">
        <x:v>1677</x:v>
      </x:c>
      <x:c r="C18" s="3" t="s">
        <x:v>1079</x:v>
      </x:c>
      <x:c r="D18" s="44">
        <x:v>28025000</x:v>
      </x:c>
      <x:c r="E18" s="44"/>
      <x:c r="F18" s="45">
        <x:f>+D18+E18</x:f>
        <x:v>28025000</x:v>
      </x:c>
      <x:c r="G18" s="37"/>
      <x:c r="H18" s="301" t="s">
        <x:v>153</x:v>
      </x:c>
      <x:c r="I18" s="3" t="s">
        <x:v>1677</x:v>
      </x:c>
      <x:c r="J18" s="3" t="s">
        <x:v>1083</x:v>
      </x:c>
      <x:c r="K18" s="4">
        <x:v>21140000</x:v>
      </x:c>
      <x:c r="L18" s="4"/>
      <x:c r="M18" s="5">
        <x:f t="shared" si="3"/>
        <x:v>21140000</x:v>
      </x:c>
      <x:c r="N18" s="6"/>
    </x:row>
    <x:row r="19" spans="1:14" ht="20.100000000000001" customHeight="1">
      <x:c r="A19" s="299"/>
      <x:c r="B19" s="3" t="s">
        <x:v>284</x:v>
      </x:c>
      <x:c r="C19" s="3" t="s">
        <x:v>281</x:v>
      </x:c>
      <x:c r="D19" s="4">
        <x:v>4100000</x:v>
      </x:c>
      <x:c r="E19" s="4"/>
      <x:c r="F19" s="5">
        <x:f>+D19+E19</x:f>
        <x:v>4100000</x:v>
      </x:c>
      <x:c r="G19" s="37" t="s">
        <x:v>257</x:v>
      </x:c>
      <x:c r="H19" s="299"/>
      <x:c r="I19" s="3"/>
      <x:c r="J19" s="3"/>
      <x:c r="K19" s="4"/>
      <x:c r="L19" s="4">
        <x:f>INT(K19*0.1)</x:f>
        <x:v>0</x:v>
      </x:c>
      <x:c r="M19" s="5">
        <x:f t="shared" si="3"/>
        <x:v>0</x:v>
      </x:c>
      <x:c r="N19" s="6"/>
    </x:row>
    <x:row r="20" spans="1:21" s="2" customFormat="1" ht="20.100000000000001" customHeight="1">
      <x:c r="A20" s="299"/>
      <x:c r="B20" s="3" t="s">
        <x:v>1241</x:v>
      </x:c>
      <x:c r="C20" s="3" t="s">
        <x:v>1368</x:v>
      </x:c>
      <x:c r="D20" s="4">
        <x:f>17820000+9226500</x:f>
        <x:v>27046500</x:v>
      </x:c>
      <x:c r="E20" s="4">
        <x:f>9226500*0.1</x:f>
        <x:v>922650</x:v>
      </x:c>
      <x:c r="F20" s="5">
        <x:f>+D20+E20</x:f>
        <x:v>27969150</x:v>
      </x:c>
      <x:c r="G20" s="37" t="s">
        <x:v>269</x:v>
      </x:c>
      <x:c r="H20" s="299"/>
      <x:c r="I20" s="3"/>
      <x:c r="J20" s="3"/>
      <x:c r="K20" s="4"/>
      <x:c r="L20" s="4"/>
      <x:c r="M20" s="5">
        <x:f t="shared" si="3"/>
        <x:v>0</x:v>
      </x:c>
      <x:c r="N20" s="6"/>
      <x:c r="U20" s="1"/>
    </x:row>
    <x:row r="21" spans="1:21" s="2" customFormat="1" ht="20.100000000000001" customHeight="1">
      <x:c r="A21" s="299"/>
      <x:c r="B21" s="3" t="s">
        <x:v>1241</x:v>
      </x:c>
      <x:c r="C21" s="3" t="s">
        <x:v>1389</x:v>
      </x:c>
      <x:c r="D21" s="4">
        <x:v>6035000</x:v>
      </x:c>
      <x:c r="E21" s="4"/>
      <x:c r="F21" s="5">
        <x:f>+D21+E21</x:f>
        <x:v>6035000</x:v>
      </x:c>
      <x:c r="G21" s="37"/>
      <x:c r="H21" s="299"/>
      <x:c r="I21" s="3"/>
      <x:c r="J21" s="3"/>
      <x:c r="K21" s="4"/>
      <x:c r="L21" s="4"/>
      <x:c r="M21" s="5"/>
      <x:c r="N21" s="6"/>
      <x:c r="U21" s="1"/>
    </x:row>
    <x:row r="22" spans="1:21" s="2" customFormat="1" ht="20.100000000000001" customHeight="1">
      <x:c r="A22" s="300"/>
      <x:c r="B22" s="3" t="s">
        <x:v>1241</x:v>
      </x:c>
      <x:c r="C22" s="3" t="s">
        <x:v>1369</x:v>
      </x:c>
      <x:c r="D22" s="4">
        <x:v>38539000</x:v>
      </x:c>
      <x:c r="E22" s="4">
        <x:f>10249000*0.1</x:f>
        <x:v>1024900</x:v>
      </x:c>
      <x:c r="F22" s="5">
        <x:f>+D22+E22</x:f>
        <x:v>39563900</x:v>
      </x:c>
      <x:c r="G22" s="6"/>
      <x:c r="H22" s="300"/>
      <x:c r="I22" s="3"/>
      <x:c r="J22" s="3"/>
      <x:c r="K22" s="4"/>
      <x:c r="L22" s="4"/>
      <x:c r="M22" s="5">
        <x:f t="shared" si="3"/>
        <x:v>0</x:v>
      </x:c>
      <x:c r="N22" s="6"/>
      <x:c r="U22" s="1"/>
    </x:row>
    <x:row r="23" spans="1:21" s="2" customFormat="1" ht="20.100000000000001" customHeight="1">
      <x:c r="A23" s="7" t="s">
        <x:v>155</x:v>
      </x:c>
      <x:c r="B23" s="8"/>
      <x:c r="C23" s="8"/>
      <x:c r="D23" s="9">
        <x:f>SUM(D18:D22)</x:f>
        <x:v>103745500</x:v>
      </x:c>
      <x:c r="E23" s="9">
        <x:f>SUM(E18:E22)</x:f>
        <x:v>1947550</x:v>
      </x:c>
      <x:c r="F23" s="10">
        <x:f>SUM(F18:F22)</x:f>
        <x:v>105693050</x:v>
      </x:c>
      <x:c r="G23" s="11"/>
      <x:c r="H23" s="7"/>
      <x:c r="I23" s="8"/>
      <x:c r="J23" s="8"/>
      <x:c r="K23" s="9">
        <x:f>SUM(K18:K22)</x:f>
        <x:v>21140000</x:v>
      </x:c>
      <x:c r="L23" s="9">
        <x:f>SUM(L18:L22)</x:f>
        <x:v>0</x:v>
      </x:c>
      <x:c r="M23" s="10">
        <x:f>SUM(M18:M22)</x:f>
        <x:v>21140000</x:v>
      </x:c>
      <x:c r="N23" s="11"/>
      <x:c r="U23" s="1"/>
    </x:row>
    <x:row r="24" spans="1:21" s="2" customFormat="1" ht="20.100000000000001" customHeight="1">
      <x:c r="A24" s="301" t="s">
        <x:v>187</x:v>
      </x:c>
      <x:c r="B24" s="3" t="s">
        <x:v>1321</x:v>
      </x:c>
      <x:c r="C24" s="3" t="s">
        <x:v>948</x:v>
      </x:c>
      <x:c r="D24" s="4">
        <x:v>300000</x:v>
      </x:c>
      <x:c r="E24" s="4">
        <x:f>+D24*0.1</x:f>
        <x:v>30000</x:v>
      </x:c>
      <x:c r="F24" s="5">
        <x:f>+D24+E24</x:f>
        <x:v>330000</x:v>
      </x:c>
      <x:c r="G24" s="6"/>
      <x:c r="H24" s="301" t="s">
        <x:v>187</x:v>
      </x:c>
      <x:c r="I24" s="3" t="s">
        <x:v>1384</x:v>
      </x:c>
      <x:c r="J24" s="3" t="s">
        <x:v>157</x:v>
      </x:c>
      <x:c r="K24" s="4">
        <x:v>500000</x:v>
      </x:c>
      <x:c r="L24" s="4">
        <x:f>+K24*0.1</x:f>
        <x:v>50000</x:v>
      </x:c>
      <x:c r="M24" s="5">
        <x:f>+K24+L24</x:f>
        <x:v>550000</x:v>
      </x:c>
      <x:c r="N24" s="6"/>
      <x:c r="U24" s="1"/>
    </x:row>
    <x:row r="25" spans="1:21" s="2" customFormat="1" ht="20.100000000000001" customHeight="1">
      <x:c r="A25" s="299"/>
      <x:c r="B25" s="3" t="s">
        <x:v>1387</x:v>
      </x:c>
      <x:c r="C25" s="3" t="s">
        <x:v>157</x:v>
      </x:c>
      <x:c r="D25" s="4"/>
      <x:c r="E25" s="4">
        <x:f>+D25*0.1</x:f>
        <x:v>0</x:v>
      </x:c>
      <x:c r="F25" s="5">
        <x:f>+D25+E25</x:f>
        <x:v>0</x:v>
      </x:c>
      <x:c r="G25" s="6"/>
      <x:c r="H25" s="299"/>
      <x:c r="I25" s="3" t="s">
        <x:v>1402</x:v>
      </x:c>
      <x:c r="J25" s="3" t="s">
        <x:v>157</x:v>
      </x:c>
      <x:c r="K25" s="4">
        <x:v>500000</x:v>
      </x:c>
      <x:c r="L25" s="4">
        <x:f>K25*0.1</x:f>
        <x:v>50000</x:v>
      </x:c>
      <x:c r="M25" s="5">
        <x:f>+K25+L25</x:f>
        <x:v>550000</x:v>
      </x:c>
      <x:c r="N25" s="6"/>
      <x:c r="U25" s="1"/>
    </x:row>
    <x:row r="26" spans="1:21" s="2" customFormat="1" ht="20.100000000000001" customHeight="1">
      <x:c r="A26" s="299"/>
      <x:c r="B26" s="3" t="s">
        <x:v>436</x:v>
      </x:c>
      <x:c r="C26" s="3" t="s">
        <x:v>1390</x:v>
      </x:c>
      <x:c r="D26" s="4">
        <x:v>639000</x:v>
      </x:c>
      <x:c r="E26" s="4">
        <x:f>+D26*0.1</x:f>
        <x:v>63900</x:v>
      </x:c>
      <x:c r="F26" s="5">
        <x:f>+D26+E26</x:f>
        <x:v>702900</x:v>
      </x:c>
      <x:c r="G26" s="6"/>
      <x:c r="H26" s="299"/>
      <x:c r="I26" s="3" t="s">
        <x:v>1388</x:v>
      </x:c>
      <x:c r="J26" s="3" t="s">
        <x:v>157</x:v>
      </x:c>
      <x:c r="K26" s="4">
        <x:v>500000</x:v>
      </x:c>
      <x:c r="L26" s="4">
        <x:f>+K26*0.1</x:f>
        <x:v>50000</x:v>
      </x:c>
      <x:c r="M26" s="5">
        <x:f>+K26+L26</x:f>
        <x:v>550000</x:v>
      </x:c>
      <x:c r="N26" s="6"/>
      <x:c r="U26" s="1"/>
    </x:row>
    <x:row r="27" spans="1:21" s="2" customFormat="1" ht="20.100000000000001" customHeight="1">
      <x:c r="A27" s="300"/>
      <x:c r="B27" s="3"/>
      <x:c r="C27" s="3"/>
      <x:c r="D27" s="4"/>
      <x:c r="E27" s="4">
        <x:f>+D27*0.1</x:f>
        <x:v>0</x:v>
      </x:c>
      <x:c r="F27" s="5">
        <x:f>+D27+E27</x:f>
        <x:v>0</x:v>
      </x:c>
      <x:c r="G27" s="6"/>
      <x:c r="H27" s="300"/>
      <x:c r="I27" s="3" t="s">
        <x:v>1211</x:v>
      </x:c>
      <x:c r="J27" s="3" t="s">
        <x:v>948</x:v>
      </x:c>
      <x:c r="K27" s="4"/>
      <x:c r="L27" s="4">
        <x:f>+K27*0.1</x:f>
        <x:v>0</x:v>
      </x:c>
      <x:c r="M27" s="5">
        <x:f>+K27+L27</x:f>
        <x:v>0</x:v>
      </x:c>
      <x:c r="N27" s="6"/>
      <x:c r="U27" s="1"/>
    </x:row>
    <x:row r="28" spans="1:21" s="2" customFormat="1" ht="20.100000000000001" customHeight="1">
      <x:c r="A28" s="7" t="s">
        <x:v>155</x:v>
      </x:c>
      <x:c r="B28" s="8"/>
      <x:c r="C28" s="8"/>
      <x:c r="D28" s="9">
        <x:f>SUM(D24:D27)</x:f>
        <x:v>939000</x:v>
      </x:c>
      <x:c r="E28" s="9">
        <x:f>SUM(E24:E27)</x:f>
        <x:v>93900</x:v>
      </x:c>
      <x:c r="F28" s="10">
        <x:f>SUM(F24:F27)</x:f>
        <x:v>1032900</x:v>
      </x:c>
      <x:c r="G28" s="11"/>
      <x:c r="H28" s="7"/>
      <x:c r="I28" s="8"/>
      <x:c r="J28" s="8"/>
      <x:c r="K28" s="9">
        <x:f>SUM(K24:K27)</x:f>
        <x:v>1500000</x:v>
      </x:c>
      <x:c r="L28" s="9">
        <x:f>SUM(L24:L27)</x:f>
        <x:v>150000</x:v>
      </x:c>
      <x:c r="M28" s="10">
        <x:f>SUM(M24:M27)</x:f>
        <x:v>1650000</x:v>
      </x:c>
      <x:c r="N28" s="11"/>
      <x:c r="U28" s="1"/>
    </x:row>
    <x:row r="29" spans="1:21" s="2" customFormat="1" ht="20.100000000000001" customHeight="1">
      <x:c r="A29" s="301" t="s">
        <x:v>149</x:v>
      </x:c>
      <x:c r="B29" s="3" t="s">
        <x:v>185</x:v>
      </x:c>
      <x:c r="C29" s="3" t="s">
        <x:v>149</x:v>
      </x:c>
      <x:c r="D29" s="44">
        <x:v>2484520</x:v>
      </x:c>
      <x:c r="E29" s="44"/>
      <x:c r="F29" s="5">
        <x:f>+D29+E29</x:f>
        <x:v>2484520</x:v>
      </x:c>
      <x:c r="G29" s="6"/>
      <x:c r="H29" s="301" t="s">
        <x:v>149</x:v>
      </x:c>
      <x:c r="I29" s="3" t="s">
        <x:v>169</x:v>
      </x:c>
      <x:c r="J29" s="3" t="s">
        <x:v>149</x:v>
      </x:c>
      <x:c r="K29" s="4">
        <x:v>992050</x:v>
      </x:c>
      <x:c r="L29" s="4">
        <x:v>7000</x:v>
      </x:c>
      <x:c r="M29" s="5">
        <x:f>+K29+L29</x:f>
        <x:v>999050</x:v>
      </x:c>
      <x:c r="N29" s="6"/>
      <x:c r="U29" s="1"/>
    </x:row>
    <x:row r="30" spans="1:21" s="2" customFormat="1" ht="20.100000000000001" customHeight="1">
      <x:c r="A30" s="299"/>
      <x:c r="B30" s="3" t="s">
        <x:v>1274</x:v>
      </x:c>
      <x:c r="C30" s="3" t="s">
        <x:v>962</x:v>
      </x:c>
      <x:c r="D30" s="4">
        <x:v>685454</x:v>
      </x:c>
      <x:c r="E30" s="4">
        <x:f>+INT(D30*0.1)+1</x:f>
        <x:v>68546</x:v>
      </x:c>
      <x:c r="F30" s="5">
        <x:f>+D30+E30</x:f>
        <x:v>754000</x:v>
      </x:c>
      <x:c r="G30" s="6"/>
      <x:c r="H30" s="299"/>
      <x:c r="I30" s="3" t="s">
        <x:v>1205</x:v>
      </x:c>
      <x:c r="J30" s="3" t="s">
        <x:v>28</x:v>
      </x:c>
      <x:c r="K30" s="4">
        <x:v>600000</x:v>
      </x:c>
      <x:c r="L30" s="4">
        <x:f>+INT(K30*0.1)</x:f>
        <x:v>60000</x:v>
      </x:c>
      <x:c r="M30" s="5">
        <x:f>+K30+L30</x:f>
        <x:v>660000</x:v>
      </x:c>
      <x:c r="N30" s="6"/>
      <x:c r="U30" s="1"/>
    </x:row>
    <x:row r="31" spans="1:21" s="2" customFormat="1" ht="20.100000000000001" customHeight="1">
      <x:c r="A31" s="299"/>
      <x:c r="B31" s="3" t="s">
        <x:v>1313</x:v>
      </x:c>
      <x:c r="C31" s="3" t="s">
        <x:v>825</x:v>
      </x:c>
      <x:c r="D31" s="4">
        <x:v>60500</x:v>
      </x:c>
      <x:c r="E31" s="4">
        <x:f>+INT(D31*0.1)</x:f>
        <x:v>6050</x:v>
      </x:c>
      <x:c r="F31" s="5">
        <x:f>+D31+E31</x:f>
        <x:v>66550</x:v>
      </x:c>
      <x:c r="G31" s="6"/>
      <x:c r="H31" s="299"/>
      <x:c r="I31" s="3" t="s">
        <x:v>217</x:v>
      </x:c>
      <x:c r="J31" s="3" t="s">
        <x:v>736</x:v>
      </x:c>
      <x:c r="K31" s="4">
        <x:v>500000</x:v>
      </x:c>
      <x:c r="L31" s="4">
        <x:f>+K31*0.1</x:f>
        <x:v>50000</x:v>
      </x:c>
      <x:c r="M31" s="5">
        <x:f>+K31+L31</x:f>
        <x:v>550000</x:v>
      </x:c>
      <x:c r="N31" s="6"/>
      <x:c r="U31" s="1"/>
    </x:row>
    <x:row r="32" spans="1:21" s="2" customFormat="1" ht="20.100000000000001" customHeight="1">
      <x:c r="A32" s="299"/>
      <x:c r="B32" s="3" t="s">
        <x:v>490</x:v>
      </x:c>
      <x:c r="C32" s="3" t="s">
        <x:v>1395</x:v>
      </x:c>
      <x:c r="D32" s="4">
        <x:v>325455</x:v>
      </x:c>
      <x:c r="E32" s="4">
        <x:f>+D32*0.1-1</x:f>
        <x:v>32544.5</x:v>
      </x:c>
      <x:c r="F32" s="5">
        <x:f>+D32+E32</x:f>
        <x:v>357999.5</x:v>
      </x:c>
      <x:c r="G32" s="6" t="s">
        <x:v>1393</x:v>
      </x:c>
      <x:c r="H32" s="299"/>
      <x:c r="I32" s="3" t="s">
        <x:v>1680</x:v>
      </x:c>
      <x:c r="J32" s="3" t="s">
        <x:v>1695</x:v>
      </x:c>
      <x:c r="K32" s="4">
        <x:v>100000</x:v>
      </x:c>
      <x:c r="L32" s="4">
        <x:f>K32*0.1</x:f>
        <x:v>10000</x:v>
      </x:c>
      <x:c r="M32" s="5">
        <x:f>+K32+L32</x:f>
        <x:v>110000</x:v>
      </x:c>
      <x:c r="N32" s="6"/>
      <x:c r="U32" s="1"/>
    </x:row>
    <x:row r="33" spans="1:21" s="2" customFormat="1" ht="20.100000000000001" customHeight="1">
      <x:c r="A33" s="299"/>
      <x:c r="B33" s="3" t="s">
        <x:v>994</x:v>
      </x:c>
      <x:c r="C33" s="3" t="s">
        <x:v>8</x:v>
      </x:c>
      <x:c r="D33" s="4">
        <x:v>420001</x:v>
      </x:c>
      <x:c r="E33" s="4">
        <x:v>41999</x:v>
      </x:c>
      <x:c r="F33" s="5">
        <x:f t="shared" ref="F33:F39" si="4">+D33+E33</x:f>
        <x:v>462000</x:v>
      </x:c>
      <x:c r="G33" s="6"/>
      <x:c r="H33" s="299"/>
      <x:c r="I33" s="3" t="s">
        <x:v>1120</x:v>
      </x:c>
      <x:c r="J33" s="3" t="s">
        <x:v>167</x:v>
      </x:c>
      <x:c r="K33" s="4">
        <x:v>20000</x:v>
      </x:c>
      <x:c r="L33" s="4">
        <x:f>K33*0.1</x:f>
        <x:v>2000</x:v>
      </x:c>
      <x:c r="M33" s="5">
        <x:f t="shared" ref="M33:M39" si="5">+K33+L33</x:f>
        <x:v>22000</x:v>
      </x:c>
      <x:c r="N33" s="6"/>
      <x:c r="U33" s="1"/>
    </x:row>
    <x:row r="34" spans="1:21" s="2" customFormat="1" ht="20.100000000000001" customHeight="1">
      <x:c r="A34" s="299"/>
      <x:c r="B34" s="3" t="s">
        <x:v>1680</x:v>
      </x:c>
      <x:c r="C34" s="3" t="s">
        <x:v>1695</x:v>
      </x:c>
      <x:c r="D34" s="4">
        <x:v>100000</x:v>
      </x:c>
      <x:c r="E34" s="4">
        <x:f>+INT(D34*0.1)</x:f>
        <x:v>10000</x:v>
      </x:c>
      <x:c r="F34" s="5">
        <x:f t="shared" si="4"/>
        <x:v>110000</x:v>
      </x:c>
      <x:c r="G34" s="6"/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5"/>
        <x:v>23100</x:v>
      </x:c>
      <x:c r="N34" s="6"/>
      <x:c r="U34" s="1"/>
    </x:row>
    <x:row r="35" spans="1:21" s="2" customFormat="1" ht="20.100000000000001" customHeight="1">
      <x:c r="A35" s="299"/>
      <x:c r="B35" s="3" t="s">
        <x:v>247</x:v>
      </x:c>
      <x:c r="C35" s="3" t="s">
        <x:v>231</x:v>
      </x:c>
      <x:c r="D35" s="4">
        <x:f>20000+3500</x:f>
        <x:v>23500</x:v>
      </x:c>
      <x:c r="E35" s="4">
        <x:f>+INT(D35*0.1)</x:f>
        <x:v>2350</x:v>
      </x:c>
      <x:c r="F35" s="5">
        <x:f t="shared" si="4"/>
        <x:v>25850</x:v>
      </x:c>
      <x:c r="G35" s="146"/>
      <x:c r="H35" s="299"/>
      <x:c r="I35" s="3" t="s">
        <x:v>774</x:v>
      </x:c>
      <x:c r="J35" s="3" t="s">
        <x:v>1233</x:v>
      </x:c>
      <x:c r="K35" s="4">
        <x:v>2100000</x:v>
      </x:c>
      <x:c r="L35" s="4">
        <x:f>+K35*0.1</x:f>
        <x:v>210000</x:v>
      </x:c>
      <x:c r="M35" s="5">
        <x:f t="shared" si="5"/>
        <x:v>2310000</x:v>
      </x:c>
      <x:c r="N35" s="6"/>
      <x:c r="U35" s="1"/>
    </x:row>
    <x:row r="36" spans="1:21" s="2" customFormat="1" ht="20.100000000000001" customHeight="1">
      <x:c r="A36" s="299"/>
      <x:c r="B36" s="3" t="s">
        <x:v>238</x:v>
      </x:c>
      <x:c r="C36" s="3" t="s">
        <x:v>405</x:v>
      </x:c>
      <x:c r="D36" s="4">
        <x:v>420000</x:v>
      </x:c>
      <x:c r="E36" s="4"/>
      <x:c r="F36" s="5">
        <x:f t="shared" si="4"/>
        <x:v>420000</x:v>
      </x:c>
      <x:c r="G36" s="14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  <x:c r="U36" s="1"/>
    </x:row>
    <x:row r="37" spans="1:21" s="2" customFormat="1" ht="20.100000000000001" customHeight="1">
      <x:c r="A37" s="299"/>
      <x:c r="B37" s="3" t="s">
        <x:v>1304</x:v>
      </x:c>
      <x:c r="C37" s="3" t="s">
        <x:v>167</x:v>
      </x:c>
      <x:c r="D37" s="4"/>
      <x:c r="E37" s="4">
        <x:f>+INT(D37*0.1)</x:f>
        <x:v>0</x:v>
      </x:c>
      <x:c r="F37" s="5">
        <x:f t="shared" si="4"/>
        <x:v>0</x:v>
      </x:c>
      <x:c r="G37" s="146"/>
      <x:c r="H37" s="299"/>
      <x:c r="I37" s="3"/>
      <x:c r="J37" s="3"/>
      <x:c r="K37" s="4"/>
      <x:c r="L37" s="4">
        <x:f>+K37*0.1</x:f>
        <x:v>0</x:v>
      </x:c>
      <x:c r="M37" s="5">
        <x:f t="shared" si="5"/>
        <x:v>0</x:v>
      </x:c>
      <x:c r="N37" s="6"/>
      <x:c r="U37" s="1"/>
    </x:row>
    <x:row r="38" spans="1:21" s="2" customFormat="1" ht="20.100000000000001" customHeight="1">
      <x:c r="A38" s="299"/>
      <x:c r="B38" s="3" t="s">
        <x:v>1397</x:v>
      </x:c>
      <x:c r="C38" s="3" t="s">
        <x:v>1398</x:v>
      </x:c>
      <x:c r="D38" s="4">
        <x:v>505000</x:v>
      </x:c>
      <x:c r="E38" s="4">
        <x:f>+INT(D38*0.1)</x:f>
        <x:v>50500</x:v>
      </x:c>
      <x:c r="F38" s="5">
        <x:f>+D38+E38</x:f>
        <x:v>555500</x:v>
      </x:c>
      <x:c r="G38" s="146"/>
      <x:c r="H38" s="299"/>
      <x:c r="I38" s="3"/>
      <x:c r="J38" s="3"/>
      <x:c r="K38" s="4"/>
      <x:c r="L38" s="4"/>
      <x:c r="M38" s="5"/>
      <x:c r="N38" s="6"/>
      <x:c r="U38" s="1"/>
    </x:row>
    <x:row r="39" spans="1:21" s="2" customFormat="1" ht="20.100000000000001" customHeight="1">
      <x:c r="A39" s="300"/>
      <x:c r="B39" s="3" t="s">
        <x:v>1274</x:v>
      </x:c>
      <x:c r="C39" s="3" t="s">
        <x:v>486</x:v>
      </x:c>
      <x:c r="D39" s="4">
        <x:v>1634545</x:v>
      </x:c>
      <x:c r="E39" s="4">
        <x:f>+D39*0.1</x:f>
        <x:v>163454.5</x:v>
      </x:c>
      <x:c r="F39" s="5">
        <x:f t="shared" si="4"/>
        <x:v>1797999.5</x:v>
      </x:c>
      <x:c r="G39" s="6" t="s">
        <x:v>1394</x:v>
      </x:c>
      <x:c r="H39" s="300"/>
      <x:c r="I39" s="3"/>
      <x:c r="J39" s="3"/>
      <x:c r="K39" s="4"/>
      <x:c r="L39" s="4"/>
      <x:c r="M39" s="5">
        <x:f t="shared" si="5"/>
        <x:v>0</x:v>
      </x:c>
      <x:c r="N39" s="6"/>
      <x:c r="U39" s="1"/>
    </x:row>
    <x:row r="40" spans="1:21" s="2" customFormat="1" ht="20.100000000000001" customHeight="1">
      <x:c r="A40" s="7" t="s">
        <x:v>155</x:v>
      </x:c>
      <x:c r="B40" s="8"/>
      <x:c r="C40" s="8"/>
      <x:c r="D40" s="9">
        <x:f>SUM(D29:D39)</x:f>
        <x:v>6658975</x:v>
      </x:c>
      <x:c r="E40" s="9">
        <x:f>SUM(E29:E39)</x:f>
        <x:v>375444</x:v>
      </x:c>
      <x:c r="F40" s="10">
        <x:f>SUM(F29:F39)</x:f>
        <x:v>7034419</x:v>
      </x:c>
      <x:c r="G40" s="11"/>
      <x:c r="H40" s="7"/>
      <x:c r="I40" s="8"/>
      <x:c r="J40" s="8"/>
      <x:c r="K40" s="9">
        <x:f>SUM(K29:K39)</x:f>
        <x:v>4333050</x:v>
      </x:c>
      <x:c r="L40" s="9">
        <x:f>SUM(L29:L39)</x:f>
        <x:v>341100</x:v>
      </x:c>
      <x:c r="M40" s="10">
        <x:f>SUM(M29:M39)</x:f>
        <x:v>4674150</x:v>
      </x:c>
      <x:c r="N40" s="11"/>
      <x:c r="U40" s="1"/>
    </x:row>
    <x:row r="41" spans="1:21" s="2" customFormat="1" ht="20.100000000000001" customHeight="1">
      <x:c r="A41" s="12" t="s">
        <x:v>1690</x:v>
      </x:c>
      <x:c r="B41" s="13"/>
      <x:c r="C41" s="13"/>
      <x:c r="D41" s="14">
        <x:f>+D17+D23+D28+D40</x:f>
        <x:v>168431761</x:v>
      </x:c>
      <x:c r="E41" s="14">
        <x:f>+E17+E23+E28+E40</x:f>
        <x:v>8125722.5999999996</x:v>
      </x:c>
      <x:c r="F41" s="15">
        <x:f>+F17+F23+F28+F40</x:f>
        <x:v>176557483.59999999</x:v>
      </x:c>
      <x:c r="G41" s="16"/>
      <x:c r="H41" s="12"/>
      <x:c r="I41" s="13"/>
      <x:c r="J41" s="13"/>
      <x:c r="K41" s="14">
        <x:f>+K17+K23+K28+K40</x:f>
        <x:v>34280172</x:v>
      </x:c>
      <x:c r="L41" s="14">
        <x:f>+L17+L23+L28+L40</x:f>
        <x:v>1221812</x:v>
      </x:c>
      <x:c r="M41" s="15">
        <x:f>+M17+M23+M28+M40</x:f>
        <x:v>35501984</x:v>
      </x:c>
      <x:c r="N41" s="16"/>
      <x:c r="U41" s="1"/>
    </x:row>
    <x:row r="42" spans="1:21" s="2" customFormat="1" ht="20.100000000000001" customHeight="1">
      <x:c r="A42" s="23" t="s">
        <x:v>35</x:v>
      </x:c>
      <x:c r="B42" s="24"/>
      <x:c r="C42" s="24"/>
      <x:c r="D42" s="25">
        <x:f>+D4-D41</x:f>
        <x:v>64228239</x:v>
      </x:c>
      <x:c r="E42" s="25">
        <x:f>+E4-E41</x:f>
        <x:v>-785722.59999999963</x:v>
      </x:c>
      <x:c r="F42" s="26">
        <x:f>+F4-F41</x:f>
        <x:v>63442516.400000006</x:v>
      </x:c>
      <x:c r="G42" s="27"/>
      <x:c r="H42" s="23"/>
      <x:c r="I42" s="24"/>
      <x:c r="J42" s="24"/>
      <x:c r="K42" s="25">
        <x:f>+K4-K41</x:f>
        <x:v>5629828</x:v>
      </x:c>
      <x:c r="L42" s="25">
        <x:f>+L4-L41</x:f>
        <x:v>-1131812</x:v>
      </x:c>
      <x:c r="M42" s="26">
        <x:f>+M4-M41</x:f>
        <x:v>4498016</x:v>
      </x:c>
      <x:c r="N42" s="27"/>
      <x:c r="U42" s="1"/>
    </x:row>
    <x:row r="43" spans="1:21" s="2" customFormat="1" ht="20.100000000000001" customHeight="1">
      <x:c r="A43" s="302" t="s">
        <x:v>410</x:v>
      </x:c>
      <x:c r="B43" s="303"/>
      <x:c r="C43" s="303"/>
      <x:c r="D43" s="303"/>
      <x:c r="E43" s="303"/>
      <x:c r="F43" s="304"/>
      <x:c r="G43" s="305"/>
      <x:c r="H43" s="302" t="s">
        <x:v>789</x:v>
      </x:c>
      <x:c r="I43" s="303"/>
      <x:c r="J43" s="303"/>
      <x:c r="K43" s="303"/>
      <x:c r="L43" s="303"/>
      <x:c r="M43" s="304"/>
      <x:c r="N43" s="305"/>
      <x:c r="U43" s="1"/>
    </x:row>
    <x:row r="44" spans="1:21" s="2" customFormat="1" ht="20.100000000000001" customHeight="1">
      <x:c r="A44" s="29" t="s">
        <x:v>147</x:v>
      </x:c>
      <x:c r="B44" s="192" t="s">
        <x:v>144</x:v>
      </x:c>
      <x:c r="C44" s="192" t="s">
        <x:v>150</x:v>
      </x:c>
      <x:c r="D44" s="31" t="s">
        <x:v>145</x:v>
      </x:c>
      <x:c r="E44" s="31" t="s">
        <x:v>152</x:v>
      </x:c>
      <x:c r="F44" s="31" t="s">
        <x:v>146</x:v>
      </x:c>
      <x:c r="G44" s="34" t="s">
        <x:v>154</x:v>
      </x:c>
      <x:c r="H44" s="29" t="s">
        <x:v>147</x:v>
      </x:c>
      <x:c r="I44" s="192" t="s">
        <x:v>144</x:v>
      </x:c>
      <x:c r="J44" s="192" t="s">
        <x:v>150</x:v>
      </x:c>
      <x:c r="K44" s="31" t="s">
        <x:v>145</x:v>
      </x:c>
      <x:c r="L44" s="31" t="s">
        <x:v>152</x:v>
      </x:c>
      <x:c r="M44" s="32" t="s">
        <x:v>146</x:v>
      </x:c>
      <x:c r="N44" s="33" t="s">
        <x:v>154</x:v>
      </x:c>
      <x:c r="U44" s="1"/>
    </x:row>
    <x:row r="45" spans="1:21" s="2" customFormat="1" ht="20.100000000000001" customHeight="1">
      <x:c r="A45" s="41" t="s">
        <x:v>151</x:v>
      </x:c>
      <x:c r="B45" s="149" t="s">
        <x:v>1679</x:v>
      </x:c>
      <x:c r="C45" s="149" t="s">
        <x:v>488</x:v>
      </x:c>
      <x:c r="D45" s="150"/>
      <x:c r="E45" s="150"/>
      <x:c r="F45" s="40">
        <x:f>+D45+E45</x:f>
        <x:v>0</x:v>
      </x:c>
      <x:c r="G45" s="42"/>
      <x:c r="H45" s="191" t="s">
        <x:v>151</x:v>
      </x:c>
      <x:c r="I45" s="38" t="s">
        <x:v>1679</x:v>
      </x:c>
      <x:c r="J45" s="38" t="s">
        <x:v>156</x:v>
      </x:c>
      <x:c r="K45" s="39"/>
      <x:c r="L45" s="39">
        <x:f t="shared" ref="L45:L51" si="6">+K45*0.1</x:f>
        <x:v>0</x:v>
      </x:c>
      <x:c r="M45" s="40">
        <x:f t="shared" ref="M45:M53" si="7">+K45+L45</x:f>
        <x:v>0</x:v>
      </x:c>
      <x:c r="N45" s="18"/>
      <x:c r="U45" s="1"/>
    </x:row>
    <x:row r="46" spans="1:21" s="2" customFormat="1" ht="20.100000000000001" customHeight="1">
      <x:c r="A46" s="298" t="s">
        <x:v>148</x:v>
      </x:c>
      <x:c r="B46" s="147"/>
      <x:c r="C46" s="147"/>
      <x:c r="D46" s="148"/>
      <x:c r="E46" s="148">
        <x:f>D46*0.1</x:f>
        <x:v>0</x:v>
      </x:c>
      <x:c r="F46" s="21">
        <x:f t="shared" ref="F46:F54" si="8">+D46+E46</x:f>
        <x:v>0</x:v>
      </x:c>
      <x:c r="G46" s="22"/>
      <x:c r="H46" s="298" t="s">
        <x:v>148</x:v>
      </x:c>
      <x:c r="I46" s="54" t="s">
        <x:v>867</x:v>
      </x:c>
      <x:c r="J46" s="54"/>
      <x:c r="K46" s="93"/>
      <x:c r="L46" s="93">
        <x:f t="shared" si="6"/>
        <x:v>0</x:v>
      </x:c>
      <x:c r="M46" s="94">
        <x:f t="shared" si="7"/>
        <x:v>0</x:v>
      </x:c>
      <x:c r="N46" s="95"/>
      <x:c r="U46" s="1"/>
    </x:row>
    <x:row r="47" spans="1:21" s="2" customFormat="1" ht="20.100000000000001" customHeight="1">
      <x:c r="A47" s="299"/>
      <x:c r="B47" s="3"/>
      <x:c r="C47" s="3"/>
      <x:c r="D47" s="4"/>
      <x:c r="E47" s="4">
        <x:f t="shared" ref="E47:E53" si="9">+D47*0.1</x:f>
        <x:v>0</x:v>
      </x:c>
      <x:c r="F47" s="5">
        <x:f t="shared" si="8"/>
        <x:v>0</x:v>
      </x:c>
      <x:c r="G47" s="6"/>
      <x:c r="H47" s="299"/>
      <x:c r="I47" s="162" t="s">
        <x:v>1348</x:v>
      </x:c>
      <x:c r="J47" s="162" t="s">
        <x:v>1183</x:v>
      </x:c>
      <x:c r="K47" s="163">
        <x:v>33120</x:v>
      </x:c>
      <x:c r="L47" s="163">
        <x:f t="shared" si="6"/>
        <x:v>3312</x:v>
      </x:c>
      <x:c r="M47" s="164">
        <x:f t="shared" si="7"/>
        <x:v>36432</x:v>
      </x:c>
      <x:c r="N47" s="158"/>
      <x:c r="U47" s="1"/>
    </x:row>
    <x:row r="48" spans="1:21" s="2" customFormat="1" ht="20.100000000000001" customHeight="1">
      <x:c r="A48" s="299"/>
      <x:c r="B48" s="3"/>
      <x:c r="C48" s="3"/>
      <x:c r="D48" s="4"/>
      <x:c r="E48" s="4">
        <x:f t="shared" si="9"/>
        <x:v>0</x:v>
      </x:c>
      <x:c r="F48" s="5">
        <x:f t="shared" si="8"/>
        <x:v>0</x:v>
      </x:c>
      <x:c r="G48" s="6"/>
      <x:c r="H48" s="299"/>
      <x:c r="I48" s="3" t="s">
        <x:v>838</x:v>
      </x:c>
      <x:c r="J48" s="3"/>
      <x:c r="K48" s="4"/>
      <x:c r="L48" s="4">
        <x:f t="shared" si="6"/>
        <x:v>0</x:v>
      </x:c>
      <x:c r="M48" s="5">
        <x:f t="shared" si="7"/>
        <x:v>0</x:v>
      </x:c>
      <x:c r="N48" s="6"/>
      <x:c r="U48" s="1"/>
    </x:row>
    <x:row r="49" spans="1:21" s="2" customFormat="1" ht="20.100000000000001" customHeight="1">
      <x:c r="A49" s="299"/>
      <x:c r="B49" s="3"/>
      <x:c r="C49" s="3"/>
      <x:c r="D49" s="4"/>
      <x:c r="E49" s="4">
        <x:f t="shared" si="9"/>
        <x:v>0</x:v>
      </x:c>
      <x:c r="F49" s="5">
        <x:f t="shared" si="8"/>
        <x:v>0</x:v>
      </x:c>
      <x:c r="G49" s="6"/>
      <x:c r="H49" s="299"/>
      <x:c r="I49" s="3" t="s">
        <x:v>1119</x:v>
      </x:c>
      <x:c r="J49" s="3"/>
      <x:c r="K49" s="4"/>
      <x:c r="L49" s="4">
        <x:f t="shared" si="6"/>
        <x:v>0</x:v>
      </x:c>
      <x:c r="M49" s="5">
        <x:f t="shared" si="7"/>
        <x:v>0</x:v>
      </x:c>
      <x:c r="N49" s="6"/>
      <x:c r="U49" s="1"/>
    </x:row>
    <x:row r="50" spans="1:21" s="2" customFormat="1" ht="20.100000000000001" customHeight="1">
      <x:c r="A50" s="299"/>
      <x:c r="B50" s="3"/>
      <x:c r="C50" s="3"/>
      <x:c r="D50" s="4"/>
      <x:c r="E50" s="4">
        <x:f t="shared" si="9"/>
        <x:v>0</x:v>
      </x:c>
      <x:c r="F50" s="5">
        <x:f t="shared" si="8"/>
        <x:v>0</x:v>
      </x:c>
      <x:c r="G50" s="6"/>
      <x:c r="H50" s="299"/>
      <x:c r="I50" s="3" t="s">
        <x:v>938</x:v>
      </x:c>
      <x:c r="J50" s="3"/>
      <x:c r="K50" s="4"/>
      <x:c r="L50" s="4">
        <x:f t="shared" si="6"/>
        <x:v>0</x:v>
      </x:c>
      <x:c r="M50" s="5">
        <x:f t="shared" si="7"/>
        <x:v>0</x:v>
      </x:c>
      <x:c r="N50" s="6"/>
      <x:c r="U50" s="1"/>
    </x:row>
    <x:row r="51" spans="1:21" s="2" customFormat="1" ht="20.100000000000001" customHeight="1">
      <x:c r="A51" s="299"/>
      <x:c r="B51" s="3"/>
      <x:c r="C51" s="3"/>
      <x:c r="D51" s="4"/>
      <x:c r="E51" s="4">
        <x:f t="shared" si="9"/>
        <x:v>0</x:v>
      </x:c>
      <x:c r="F51" s="5">
        <x:f t="shared" si="8"/>
        <x:v>0</x:v>
      </x:c>
      <x:c r="G51" s="6"/>
      <x:c r="H51" s="299"/>
      <x:c r="I51" s="3" t="s">
        <x:v>846</x:v>
      </x:c>
      <x:c r="J51" s="3" t="s">
        <x:v>1391</x:v>
      </x:c>
      <x:c r="K51" s="4">
        <x:v>165250</x:v>
      </x:c>
      <x:c r="L51" s="4">
        <x:f t="shared" si="6"/>
        <x:v>16525</x:v>
      </x:c>
      <x:c r="M51" s="5">
        <x:f t="shared" si="7"/>
        <x:v>181775</x:v>
      </x:c>
      <x:c r="N51" s="6"/>
      <x:c r="U51" s="1"/>
    </x:row>
    <x:row r="52" spans="1:21" s="2" customFormat="1" ht="20.100000000000001" customHeight="1">
      <x:c r="A52" s="299"/>
      <x:c r="B52" s="3"/>
      <x:c r="C52" s="3"/>
      <x:c r="D52" s="4"/>
      <x:c r="E52" s="4">
        <x:f t="shared" si="9"/>
        <x:v>0</x:v>
      </x:c>
      <x:c r="F52" s="5">
        <x:f t="shared" si="8"/>
        <x:v>0</x:v>
      </x:c>
      <x:c r="G52" s="6"/>
      <x:c r="H52" s="299"/>
      <x:c r="I52" s="3"/>
      <x:c r="J52" s="3"/>
      <x:c r="K52" s="4"/>
      <x:c r="L52" s="4">
        <x:f>+INT(K52*0.1)</x:f>
        <x:v>0</x:v>
      </x:c>
      <x:c r="M52" s="5">
        <x:f t="shared" si="7"/>
        <x:v>0</x:v>
      </x:c>
      <x:c r="N52" s="6"/>
      <x:c r="U52" s="1"/>
    </x:row>
    <x:row r="53" spans="1:21" s="2" customFormat="1" ht="20.100000000000001" customHeight="1">
      <x:c r="A53" s="299"/>
      <x:c r="B53" s="3"/>
      <x:c r="C53" s="3"/>
      <x:c r="D53" s="4"/>
      <x:c r="E53" s="4">
        <x:f t="shared" si="9"/>
        <x:v>0</x:v>
      </x:c>
      <x:c r="F53" s="5">
        <x:f t="shared" si="8"/>
        <x:v>0</x:v>
      </x:c>
      <x:c r="G53" s="6"/>
      <x:c r="H53" s="299"/>
      <x:c r="I53" s="3"/>
      <x:c r="J53" s="3"/>
      <x:c r="K53" s="4"/>
      <x:c r="L53" s="4">
        <x:f>+INT(K53*0.1)</x:f>
        <x:v>0</x:v>
      </x:c>
      <x:c r="M53" s="5">
        <x:f t="shared" si="7"/>
        <x:v>0</x:v>
      </x:c>
      <x:c r="N53" s="6"/>
      <x:c r="U53" s="1"/>
    </x:row>
    <x:row r="54" spans="1:21" s="2" customFormat="1" ht="20.100000000000001" customHeight="1">
      <x:c r="A54" s="299"/>
      <x:c r="B54" s="3"/>
      <x:c r="C54" s="3"/>
      <x:c r="D54" s="4"/>
      <x:c r="E54" s="4">
        <x:f>+INT(D54*0.1)</x:f>
        <x:v>0</x:v>
      </x:c>
      <x:c r="F54" s="5">
        <x:f t="shared" si="8"/>
        <x:v>0</x:v>
      </x:c>
      <x:c r="G54" s="6"/>
      <x:c r="H54" s="299"/>
      <x:c r="I54" s="3"/>
      <x:c r="J54" s="3"/>
      <x:c r="K54" s="4"/>
      <x:c r="L54" s="4"/>
      <x:c r="M54" s="5"/>
      <x:c r="N54" s="6"/>
      <x:c r="U54" s="1"/>
    </x:row>
    <x:row r="55" spans="1:21" s="2" customFormat="1" ht="20.100000000000001" customHeight="1">
      <x:c r="A55" s="299"/>
      <x:c r="B55" s="3"/>
      <x:c r="C55" s="3"/>
      <x:c r="D55" s="4"/>
      <x:c r="E55" s="4">
        <x:f>+INT(D55*0.1)</x:f>
        <x:v>0</x:v>
      </x:c>
      <x:c r="F55" s="5">
        <x:f>+D55+E55</x:f>
        <x:v>0</x:v>
      </x:c>
      <x:c r="G55" s="6"/>
      <x:c r="H55" s="299"/>
      <x:c r="I55" s="3"/>
      <x:c r="J55" s="3"/>
      <x:c r="K55" s="4"/>
      <x:c r="L55" s="4">
        <x:f t="shared" ref="L55:L60" si="10">+INT(K55*0.1)</x:f>
        <x:v>0</x:v>
      </x:c>
      <x:c r="M55" s="5">
        <x:f t="shared" ref="M55:M60" si="11">+K55+L55</x:f>
        <x:v>0</x:v>
      </x:c>
      <x:c r="N55" s="6"/>
      <x:c r="U55" s="1"/>
    </x:row>
    <x:row r="56" spans="1:21" s="2" customFormat="1" ht="20.100000000000001" customHeight="1">
      <x:c r="A56" s="299"/>
      <x:c r="B56" s="3"/>
      <x:c r="C56" s="3"/>
      <x:c r="D56" s="4"/>
      <x:c r="E56" s="4"/>
      <x:c r="F56" s="5"/>
      <x:c r="G56" s="6"/>
      <x:c r="H56" s="299"/>
      <x:c r="I56" s="3"/>
      <x:c r="J56" s="3"/>
      <x:c r="K56" s="4"/>
      <x:c r="L56" s="4">
        <x:f t="shared" si="10"/>
        <x:v>0</x:v>
      </x:c>
      <x:c r="M56" s="5">
        <x:f t="shared" si="11"/>
        <x:v>0</x:v>
      </x:c>
      <x:c r="N56" s="6"/>
      <x:c r="U56" s="1"/>
    </x:row>
    <x:row r="57" spans="1:21" s="2" customFormat="1" ht="20.100000000000001" customHeight="1">
      <x:c r="A57" s="299"/>
      <x:c r="B57" s="129"/>
      <x:c r="C57" s="129"/>
      <x:c r="D57" s="4"/>
      <x:c r="E57" s="4">
        <x:f>+D57*0.1</x:f>
        <x:v>0</x:v>
      </x:c>
      <x:c r="F57" s="5">
        <x:f>+D57+E57</x:f>
        <x:v>0</x:v>
      </x:c>
      <x:c r="G57" s="6"/>
      <x:c r="H57" s="299"/>
      <x:c r="I57" s="3"/>
      <x:c r="J57" s="3"/>
      <x:c r="K57" s="4"/>
      <x:c r="L57" s="4">
        <x:f t="shared" si="10"/>
        <x:v>0</x:v>
      </x:c>
      <x:c r="M57" s="5">
        <x:f t="shared" si="11"/>
        <x:v>0</x:v>
      </x:c>
      <x:c r="N57" s="6"/>
      <x:c r="U57" s="1"/>
    </x:row>
    <x:row r="58" spans="1:21" s="2" customFormat="1" ht="20.100000000000001" customHeight="1">
      <x:c r="A58" s="299"/>
      <x:c r="B58" s="129"/>
      <x:c r="C58" s="129"/>
      <x:c r="D58" s="130"/>
      <x:c r="E58" s="130">
        <x:f>+INT(D58*0.1)</x:f>
        <x:v>0</x:v>
      </x:c>
      <x:c r="F58" s="5">
        <x:f>+D58+E58</x:f>
        <x:v>0</x:v>
      </x:c>
      <x:c r="G58" s="6"/>
      <x:c r="H58" s="299"/>
      <x:c r="I58" s="3"/>
      <x:c r="J58" s="3"/>
      <x:c r="K58" s="4"/>
      <x:c r="L58" s="4">
        <x:f t="shared" si="10"/>
        <x:v>0</x:v>
      </x:c>
      <x:c r="M58" s="5">
        <x:f t="shared" si="11"/>
        <x:v>0</x:v>
      </x:c>
      <x:c r="N58" s="6"/>
      <x:c r="U58" s="1"/>
    </x:row>
    <x:row r="59" spans="1:21" s="2" customFormat="1" ht="20.100000000000001" customHeight="1">
      <x:c r="A59" s="299"/>
      <x:c r="B59" s="3"/>
      <x:c r="C59" s="3"/>
      <x:c r="D59" s="4"/>
      <x:c r="E59" s="4">
        <x:f>+D59*0.1</x:f>
        <x:v>0</x:v>
      </x:c>
      <x:c r="F59" s="131">
        <x:f>+D59+E59</x:f>
        <x:v>0</x:v>
      </x:c>
      <x:c r="G59" s="6"/>
      <x:c r="H59" s="299"/>
      <x:c r="I59" s="3"/>
      <x:c r="J59" s="3"/>
      <x:c r="K59" s="4"/>
      <x:c r="L59" s="4">
        <x:f t="shared" si="10"/>
        <x:v>0</x:v>
      </x:c>
      <x:c r="M59" s="5">
        <x:f t="shared" si="11"/>
        <x:v>0</x:v>
      </x:c>
      <x:c r="N59" s="6"/>
      <x:c r="U59" s="1"/>
    </x:row>
    <x:row r="60" spans="1:21" s="2" customFormat="1" ht="20.100000000000001" customHeight="1">
      <x:c r="A60" s="299"/>
      <x:c r="B60" s="3"/>
      <x:c r="C60" s="3"/>
      <x:c r="D60" s="4"/>
      <x:c r="E60" s="4">
        <x:f>+D60*0.1</x:f>
        <x:v>0</x:v>
      </x:c>
      <x:c r="F60" s="5">
        <x:f>+D60+E60</x:f>
        <x:v>0</x:v>
      </x:c>
      <x:c r="G60" s="132"/>
      <x:c r="H60" s="299"/>
      <x:c r="I60" s="3"/>
      <x:c r="J60" s="3"/>
      <x:c r="K60" s="4"/>
      <x:c r="L60" s="4">
        <x:f t="shared" si="10"/>
        <x:v>0</x:v>
      </x:c>
      <x:c r="M60" s="5">
        <x:f t="shared" si="11"/>
        <x:v>0</x:v>
      </x:c>
      <x:c r="N60" s="6"/>
      <x:c r="U60" s="1"/>
    </x:row>
    <x:row r="61" spans="1:21" s="2" customFormat="1" ht="20.100000000000001" customHeight="1">
      <x:c r="A61" s="299"/>
      <x:c r="B61" s="129"/>
      <x:c r="C61" s="129"/>
      <x:c r="D61" s="4"/>
      <x:c r="E61" s="4">
        <x:f>+D61*0.1</x:f>
        <x:v>0</x:v>
      </x:c>
      <x:c r="F61" s="5">
        <x:f>+D61+E61</x:f>
        <x:v>0</x:v>
      </x:c>
      <x:c r="G61" s="6"/>
      <x:c r="H61" s="300"/>
      <x:c r="I61" s="3"/>
      <x:c r="J61" s="3"/>
      <x:c r="K61" s="4"/>
      <x:c r="L61" s="4"/>
      <x:c r="M61" s="5"/>
      <x:c r="N61" s="6"/>
      <x:c r="U61" s="1"/>
    </x:row>
    <x:row r="62" spans="1:21" s="2" customFormat="1" ht="20.100000000000001" customHeight="1">
      <x:c r="A62" s="7"/>
      <x:c r="B62" s="8"/>
      <x:c r="C62" s="8"/>
      <x:c r="D62" s="9">
        <x:f>SUM(D46:D61)</x:f>
        <x:v>0</x:v>
      </x:c>
      <x:c r="E62" s="9">
        <x:f>SUM(E46:E61)</x:f>
        <x:v>0</x:v>
      </x:c>
      <x:c r="F62" s="10">
        <x:f>SUM(F46:F61)</x:f>
        <x:v>0</x:v>
      </x:c>
      <x:c r="G62" s="11"/>
      <x:c r="H62" s="7" t="s">
        <x:v>155</x:v>
      </x:c>
      <x:c r="I62" s="8"/>
      <x:c r="J62" s="8"/>
      <x:c r="K62" s="9">
        <x:f>SUM(K46:K61)</x:f>
        <x:v>198370</x:v>
      </x:c>
      <x:c r="L62" s="9">
        <x:f>SUM(L46:L61)</x:f>
        <x:v>19837</x:v>
      </x:c>
      <x:c r="M62" s="10">
        <x:f>SUM(M46:M61)</x:f>
        <x:v>218207</x:v>
      </x:c>
      <x:c r="N62" s="11"/>
      <x:c r="U62" s="1"/>
    </x:row>
    <x:row r="63" spans="1:21" s="2" customFormat="1" ht="20.100000000000001" customHeight="1">
      <x:c r="A63" s="301" t="s">
        <x:v>153</x:v>
      </x:c>
      <x:c r="B63" s="3" t="s">
        <x:v>1677</x:v>
      </x:c>
      <x:c r="C63" s="3" t="s">
        <x:v>158</x:v>
      </x:c>
      <x:c r="D63" s="4">
        <x:v>4700000</x:v>
      </x:c>
      <x:c r="E63" s="4"/>
      <x:c r="F63" s="5">
        <x:f>+D63+E63</x:f>
        <x:v>4700000</x:v>
      </x:c>
      <x:c r="G63" s="6"/>
      <x:c r="H63" s="301" t="s">
        <x:v>153</x:v>
      </x:c>
      <x:c r="I63" s="3" t="s">
        <x:v>1677</x:v>
      </x:c>
      <x:c r="J63" s="3" t="s">
        <x:v>1308</x:v>
      </x:c>
      <x:c r="K63" s="44">
        <x:v>11450000</x:v>
      </x:c>
      <x:c r="L63" s="44"/>
      <x:c r="M63" s="45">
        <x:f>+K63+L63</x:f>
        <x:v>11450000</x:v>
      </x:c>
      <x:c r="N63" s="37"/>
      <x:c r="U63" s="1"/>
    </x:row>
    <x:row r="64" spans="1:21" s="2" customFormat="1" ht="20.100000000000001" customHeight="1">
      <x:c r="A64" s="299"/>
      <x:c r="B64" s="3"/>
      <x:c r="C64" s="3"/>
      <x:c r="D64" s="4"/>
      <x:c r="E64" s="4"/>
      <x:c r="F64" s="5">
        <x:f>+D64+E64</x:f>
        <x:v>0</x:v>
      </x:c>
      <x:c r="G64" s="6"/>
      <x:c r="H64" s="299"/>
      <x:c r="I64" s="3" t="s">
        <x:v>960</x:v>
      </x:c>
      <x:c r="J64" s="3" t="s">
        <x:v>950</x:v>
      </x:c>
      <x:c r="K64" s="44">
        <x:v>10000000</x:v>
      </x:c>
      <x:c r="L64" s="44">
        <x:f>+K64*0.1</x:f>
        <x:v>1000000</x:v>
      </x:c>
      <x:c r="M64" s="45">
        <x:f>+K64+L64</x:f>
        <x:v>11000000</x:v>
      </x:c>
      <x:c r="N64" s="37"/>
      <x:c r="U64" s="1"/>
    </x:row>
    <x:row r="65" spans="1:21" s="2" customFormat="1" ht="20.100000000000001" customHeight="1">
      <x:c r="A65" s="299"/>
      <x:c r="B65" s="3"/>
      <x:c r="C65" s="3"/>
      <x:c r="D65" s="4"/>
      <x:c r="E65" s="4">
        <x:f>+D65*0.1</x:f>
        <x:v>0</x:v>
      </x:c>
      <x:c r="F65" s="5">
        <x:f>+D65+E65</x:f>
        <x:v>0</x:v>
      </x:c>
      <x:c r="G65" s="6"/>
      <x:c r="H65" s="299"/>
      <x:c r="I65" s="3"/>
      <x:c r="J65" s="3"/>
      <x:c r="K65" s="4"/>
      <x:c r="L65" s="4">
        <x:f>+K65*0.1</x:f>
        <x:v>0</x:v>
      </x:c>
      <x:c r="M65" s="5">
        <x:f>+K65+L65</x:f>
        <x:v>0</x:v>
      </x:c>
      <x:c r="N65" s="6"/>
      <x:c r="U65" s="1"/>
    </x:row>
    <x:row r="66" spans="1:21" s="2" customFormat="1" ht="20.100000000000001" customHeight="1">
      <x:c r="A66" s="300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300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  <x:c r="U66" s="1"/>
    </x:row>
    <x:row r="67" spans="1:21" s="2" customFormat="1" ht="20.100000000000001" customHeight="1">
      <x:c r="A67" s="7"/>
      <x:c r="B67" s="8"/>
      <x:c r="C67" s="8"/>
      <x:c r="D67" s="9">
        <x:f>SUM(D63:D66)</x:f>
        <x:v>4700000</x:v>
      </x:c>
      <x:c r="E67" s="9">
        <x:f>SUM(E63:E66)</x:f>
        <x:v>0</x:v>
      </x:c>
      <x:c r="F67" s="10">
        <x:f>SUM(F63:F66)</x:f>
        <x:v>4700000</x:v>
      </x:c>
      <x:c r="G67" s="11"/>
      <x:c r="H67" s="7" t="s">
        <x:v>155</x:v>
      </x:c>
      <x:c r="I67" s="8"/>
      <x:c r="J67" s="8"/>
      <x:c r="K67" s="9">
        <x:f>SUM(K63:K66)</x:f>
        <x:v>21450000</x:v>
      </x:c>
      <x:c r="L67" s="9">
        <x:f>SUM(L63:L66)</x:f>
        <x:v>1000000</x:v>
      </x:c>
      <x:c r="M67" s="10">
        <x:f>SUM(M63:M66)</x:f>
        <x:v>22450000</x:v>
      </x:c>
      <x:c r="N67" s="11"/>
      <x:c r="U67" s="1"/>
    </x:row>
    <x:row r="68" spans="1:21" s="2" customFormat="1" ht="20.100000000000001" customHeight="1">
      <x:c r="A68" s="301" t="s">
        <x:v>187</x:v>
      </x:c>
      <x:c r="B68" s="3"/>
      <x:c r="C68" s="3"/>
      <x:c r="D68" s="4"/>
      <x:c r="E68" s="4">
        <x:f>+D68*0.1</x:f>
        <x:v>0</x:v>
      </x:c>
      <x:c r="F68" s="5">
        <x:f>+D68+E68</x:f>
        <x:v>0</x:v>
      </x:c>
      <x:c r="G68" s="6"/>
      <x:c r="H68" s="301" t="s">
        <x:v>187</x:v>
      </x:c>
      <x:c r="I68" s="3"/>
      <x:c r="J68" s="3"/>
      <x:c r="K68" s="4"/>
      <x:c r="L68" s="4">
        <x:f>+K68*0.1</x:f>
        <x:v>0</x:v>
      </x:c>
      <x:c r="M68" s="5">
        <x:f>+K68+L68</x:f>
        <x:v>0</x:v>
      </x:c>
      <x:c r="N68" s="6"/>
      <x:c r="U68" s="1"/>
    </x:row>
    <x:row r="69" spans="1:21" s="2" customFormat="1" ht="20.100000000000001" customHeight="1">
      <x:c r="A69" s="299"/>
      <x:c r="B69" s="3"/>
      <x:c r="C69" s="3"/>
      <x:c r="D69" s="4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  <x:c r="U69" s="1"/>
    </x:row>
    <x:row r="70" spans="1:21" s="2" customFormat="1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  <x:c r="U70" s="1"/>
    </x:row>
    <x:row r="71" spans="1:21" s="2" customFormat="1" ht="20.100000000000001" customHeight="1">
      <x:c r="A71" s="300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300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  <x:c r="U71" s="1"/>
    </x:row>
    <x:row r="72" spans="1:21" s="2" customFormat="1" ht="20.100000000000001" customHeight="1">
      <x:c r="A72" s="7"/>
      <x:c r="B72" s="8"/>
      <x:c r="C72" s="8"/>
      <x:c r="D72" s="9">
        <x:f>SUM(D68:D71)</x:f>
        <x:v>0</x:v>
      </x:c>
      <x:c r="E72" s="9">
        <x:f>SUM(E68:E71)</x:f>
        <x:v>0</x:v>
      </x:c>
      <x:c r="F72" s="10">
        <x:f>SUM(F68:F71)</x:f>
        <x:v>0</x:v>
      </x:c>
      <x:c r="G72" s="11"/>
      <x:c r="H72" s="7" t="s">
        <x:v>155</x:v>
      </x:c>
      <x:c r="I72" s="8"/>
      <x:c r="J72" s="8"/>
      <x:c r="K72" s="9">
        <x:f>SUM(K68:K71)</x:f>
        <x:v>0</x:v>
      </x:c>
      <x:c r="L72" s="9">
        <x:f>SUM(L68:L71)</x:f>
        <x:v>0</x:v>
      </x:c>
      <x:c r="M72" s="10">
        <x:f>SUM(M68:M71)</x:f>
        <x:v>0</x:v>
      </x:c>
      <x:c r="N72" s="11"/>
      <x:c r="U72" s="1"/>
    </x:row>
    <x:row r="73" spans="1:21" s="2" customFormat="1" ht="20.100000000000001" customHeight="1">
      <x:c r="A73" s="301" t="s">
        <x:v>149</x:v>
      </x:c>
      <x:c r="B73" s="3" t="s">
        <x:v>158</x:v>
      </x:c>
      <x:c r="C73" s="3" t="s">
        <x:v>149</x:v>
      </x:c>
      <x:c r="D73" s="4">
        <x:v>217800</x:v>
      </x:c>
      <x:c r="E73" s="4"/>
      <x:c r="F73" s="5">
        <x:f t="shared" ref="F73:F79" si="12">+D73+E73</x:f>
        <x:v>217800</x:v>
      </x:c>
      <x:c r="G73" s="6"/>
      <x:c r="H73" s="301" t="s">
        <x:v>149</x:v>
      </x:c>
      <x:c r="I73" s="3" t="s">
        <x:v>248</x:v>
      </x:c>
      <x:c r="J73" s="3" t="s">
        <x:v>492</x:v>
      </x:c>
      <x:c r="K73" s="4">
        <x:f>499194+193510</x:f>
        <x:v>692704</x:v>
      </x:c>
      <x:c r="L73" s="4"/>
      <x:c r="M73" s="5">
        <x:f>+K73+L73</x:f>
        <x:v>692704</x:v>
      </x:c>
      <x:c r="N73" s="6"/>
      <x:c r="U73" s="1"/>
    </x:row>
    <x:row r="74" spans="1:21" s="2" customFormat="1" ht="20.100000000000001" customHeight="1">
      <x:c r="A74" s="299"/>
      <x:c r="B74" s="3" t="s">
        <x:v>1401</x:v>
      </x:c>
      <x:c r="C74" s="3" t="s">
        <x:v>267</x:v>
      </x:c>
      <x:c r="D74" s="4">
        <x:v>12000</x:v>
      </x:c>
      <x:c r="E74" s="4">
        <x:f t="shared" ref="E74:E80" si="13">+D74*0.1</x:f>
        <x:v>1200</x:v>
      </x:c>
      <x:c r="F74" s="5">
        <x:f t="shared" si="12"/>
        <x:v>13200</x:v>
      </x:c>
      <x:c r="G74" s="6"/>
      <x:c r="H74" s="299"/>
      <x:c r="I74" s="3" t="s">
        <x:v>248</x:v>
      </x:c>
      <x:c r="J74" s="3" t="s">
        <x:v>1312</x:v>
      </x:c>
      <x:c r="K74" s="4"/>
      <x:c r="L74" s="4"/>
      <x:c r="M74" s="5">
        <x:f>+K74+L74</x:f>
        <x:v>0</x:v>
      </x:c>
      <x:c r="N74" s="6"/>
      <x:c r="U74" s="1"/>
    </x:row>
    <x:row r="75" spans="1:21" s="2" customFormat="1" ht="20.100000000000001" customHeight="1">
      <x:c r="A75" s="299"/>
      <x:c r="B75" s="3" t="s">
        <x:v>883</x:v>
      </x:c>
      <x:c r="C75" s="3" t="s">
        <x:v>1417</x:v>
      </x:c>
      <x:c r="D75" s="4">
        <x:v>660000</x:v>
      </x:c>
      <x:c r="E75" s="4">
        <x:f t="shared" si="13"/>
        <x:v>66000</x:v>
      </x:c>
      <x:c r="F75" s="5">
        <x:f t="shared" si="12"/>
        <x:v>726000</x:v>
      </x:c>
      <x:c r="G75" s="6" t="s">
        <x:v>1399</x:v>
      </x:c>
      <x:c r="H75" s="299"/>
      <x:c r="I75" s="3" t="s">
        <x:v>284</x:v>
      </x:c>
      <x:c r="J75" s="3" t="s">
        <x:v>149</x:v>
      </x:c>
      <x:c r="K75" s="4"/>
      <x:c r="L75" s="4"/>
      <x:c r="M75" s="5">
        <x:f t="shared" ref="M75:M82" si="14">+K75+L75</x:f>
        <x:v>0</x:v>
      </x:c>
      <x:c r="N75" s="6"/>
      <x:c r="U75" s="1"/>
    </x:row>
    <x:row r="76" spans="1:21" s="2" customFormat="1" ht="20.100000000000001" customHeight="1">
      <x:c r="A76" s="299"/>
      <x:c r="B76" s="3" t="s">
        <x:v>247</x:v>
      </x:c>
      <x:c r="C76" s="3" t="s">
        <x:v>231</x:v>
      </x:c>
      <x:c r="D76" s="4">
        <x:v>21000</x:v>
      </x:c>
      <x:c r="E76" s="4">
        <x:f t="shared" si="13"/>
        <x:v>2100</x:v>
      </x:c>
      <x:c r="F76" s="5">
        <x:f t="shared" si="12"/>
        <x:v>23100</x:v>
      </x:c>
      <x:c r="G76" s="6"/>
      <x:c r="H76" s="299"/>
      <x:c r="I76" s="3" t="s">
        <x:v>249</x:v>
      </x:c>
      <x:c r="J76" s="3" t="s">
        <x:v>608</x:v>
      </x:c>
      <x:c r="K76" s="4">
        <x:v>550000</x:v>
      </x:c>
      <x:c r="L76" s="4"/>
      <x:c r="M76" s="5">
        <x:f t="shared" si="14"/>
        <x:v>550000</x:v>
      </x:c>
      <x:c r="N76" s="6"/>
      <x:c r="U76" s="1"/>
    </x:row>
    <x:row r="77" spans="1:21" s="2" customFormat="1" ht="20.100000000000001" customHeight="1">
      <x:c r="A77" s="299"/>
      <x:c r="B77" s="3"/>
      <x:c r="C77" s="3"/>
      <x:c r="D77" s="4"/>
      <x:c r="E77" s="4">
        <x:f t="shared" si="13"/>
        <x:v>0</x:v>
      </x:c>
      <x:c r="F77" s="5">
        <x:f t="shared" si="12"/>
        <x:v>0</x:v>
      </x:c>
      <x:c r="G77" s="6"/>
      <x:c r="H77" s="299"/>
      <x:c r="I77" s="3" t="s">
        <x:v>947</x:v>
      </x:c>
      <x:c r="J77" s="3" t="s">
        <x:v>914</x:v>
      </x:c>
      <x:c r="K77" s="4">
        <x:v>100000</x:v>
      </x:c>
      <x:c r="L77" s="4">
        <x:f>+K77*0.1</x:f>
        <x:v>10000</x:v>
      </x:c>
      <x:c r="M77" s="5">
        <x:f t="shared" si="14"/>
        <x:v>110000</x:v>
      </x:c>
      <x:c r="N77" s="6"/>
      <x:c r="U77" s="1"/>
    </x:row>
    <x:row r="78" spans="1:21" s="2" customFormat="1" ht="20.100000000000001" customHeight="1">
      <x:c r="A78" s="299"/>
      <x:c r="B78" s="3"/>
      <x:c r="C78" s="3"/>
      <x:c r="D78" s="4"/>
      <x:c r="E78" s="4">
        <x:f t="shared" si="13"/>
        <x:v>0</x:v>
      </x:c>
      <x:c r="F78" s="5">
        <x:f t="shared" si="12"/>
        <x:v>0</x:v>
      </x:c>
      <x:c r="G78" s="6"/>
      <x:c r="H78" s="299"/>
      <x:c r="I78" s="3" t="s">
        <x:v>1340</x:v>
      </x:c>
      <x:c r="J78" s="3" t="s">
        <x:v>28</x:v>
      </x:c>
      <x:c r="K78" s="4">
        <x:v>258500</x:v>
      </x:c>
      <x:c r="L78" s="4">
        <x:f>+K78*0.1</x:f>
        <x:v>25850</x:v>
      </x:c>
      <x:c r="M78" s="5">
        <x:f t="shared" si="14"/>
        <x:v>284350</x:v>
      </x:c>
      <x:c r="N78" s="6"/>
      <x:c r="U78" s="1"/>
    </x:row>
    <x:row r="79" spans="1:21" s="2" customFormat="1" ht="20.100000000000001" customHeight="1">
      <x:c r="A79" s="299"/>
      <x:c r="B79" s="3"/>
      <x:c r="C79" s="3"/>
      <x:c r="D79" s="4"/>
      <x:c r="E79" s="4">
        <x:f t="shared" si="13"/>
        <x:v>0</x:v>
      </x:c>
      <x:c r="F79" s="5">
        <x:f t="shared" si="12"/>
        <x:v>0</x:v>
      </x:c>
      <x:c r="G79" s="6"/>
      <x:c r="H79" s="299"/>
      <x:c r="I79" s="3" t="s">
        <x:v>247</x:v>
      </x:c>
      <x:c r="J79" s="3" t="s">
        <x:v>231</x:v>
      </x:c>
      <x:c r="K79" s="4">
        <x:f>21000+4800</x:f>
        <x:v>25800</x:v>
      </x:c>
      <x:c r="L79" s="4">
        <x:f>+K79*0.1</x:f>
        <x:v>2580</x:v>
      </x:c>
      <x:c r="M79" s="5">
        <x:f t="shared" si="14"/>
        <x:v>28380</x:v>
      </x:c>
      <x:c r="N79" s="6"/>
      <x:c r="U79" s="1"/>
    </x:row>
    <x:row r="80" spans="1:21" s="2" customFormat="1" ht="20.100000000000001" customHeight="1">
      <x:c r="A80" s="299"/>
      <x:c r="B80" s="3"/>
      <x:c r="C80" s="3"/>
      <x:c r="D80" s="4"/>
      <x:c r="E80" s="4">
        <x:f t="shared" si="13"/>
        <x:v>0</x:v>
      </x:c>
      <x:c r="F80" s="5">
        <x:f>+D80+E80</x:f>
        <x:v>0</x:v>
      </x:c>
      <x:c r="G80" s="6"/>
      <x:c r="H80" s="299"/>
      <x:c r="I80" s="3" t="s">
        <x:v>926</x:v>
      </x:c>
      <x:c r="J80" s="3" t="s">
        <x:v>404</x:v>
      </x:c>
      <x:c r="K80" s="4">
        <x:v>392889</x:v>
      </x:c>
      <x:c r="L80" s="4"/>
      <x:c r="M80" s="5">
        <x:f t="shared" si="14"/>
        <x:v>392889</x:v>
      </x:c>
      <x:c r="N80" s="6"/>
      <x:c r="U80" s="1"/>
    </x:row>
    <x:row r="81" spans="1:21" s="2" customFormat="1" ht="20.100000000000001" customHeight="1">
      <x:c r="A81" s="299"/>
      <x:c r="B81" s="3"/>
      <x:c r="C81" s="3"/>
      <x:c r="D81" s="4"/>
      <x:c r="E81" s="4"/>
      <x:c r="F81" s="5">
        <x:f>+D81+E81</x:f>
        <x:v>0</x:v>
      </x:c>
      <x:c r="G81" s="6"/>
      <x:c r="H81" s="299"/>
      <x:c r="I81" s="3"/>
      <x:c r="J81" s="3"/>
      <x:c r="K81" s="4"/>
      <x:c r="L81" s="4"/>
      <x:c r="M81" s="5">
        <x:f t="shared" si="14"/>
        <x:v>0</x:v>
      </x:c>
      <x:c r="N81" s="6"/>
      <x:c r="U81" s="1"/>
    </x:row>
    <x:row r="82" spans="1:21" s="2" customFormat="1" ht="20.100000000000001" customHeight="1">
      <x:c r="A82" s="300"/>
      <x:c r="B82" s="3"/>
      <x:c r="C82" s="3"/>
      <x:c r="D82" s="4"/>
      <x:c r="E82" s="4"/>
      <x:c r="F82" s="5">
        <x:f>+D82+E82</x:f>
        <x:v>0</x:v>
      </x:c>
      <x:c r="G82" s="6"/>
      <x:c r="H82" s="300"/>
      <x:c r="I82" s="3"/>
      <x:c r="J82" s="3"/>
      <x:c r="K82" s="4"/>
      <x:c r="L82" s="4"/>
      <x:c r="M82" s="5">
        <x:f t="shared" si="14"/>
        <x:v>0</x:v>
      </x:c>
      <x:c r="N82" s="6"/>
      <x:c r="U82" s="1"/>
    </x:row>
    <x:row r="83" spans="1:21" s="2" customFormat="1" ht="20.100000000000001" customHeight="1">
      <x:c r="A83" s="7"/>
      <x:c r="B83" s="8"/>
      <x:c r="C83" s="8"/>
      <x:c r="D83" s="9">
        <x:f>SUM(D73:D82)</x:f>
        <x:v>910800</x:v>
      </x:c>
      <x:c r="E83" s="9">
        <x:f>SUM(E73:E82)</x:f>
        <x:v>69300</x:v>
      </x:c>
      <x:c r="F83" s="10">
        <x:f>SUM(F73:F82)</x:f>
        <x:v>980100</x:v>
      </x:c>
      <x:c r="G83" s="11"/>
      <x:c r="H83" s="7" t="s">
        <x:v>155</x:v>
      </x:c>
      <x:c r="I83" s="8"/>
      <x:c r="J83" s="8"/>
      <x:c r="K83" s="9">
        <x:f>SUM(K73:K82)</x:f>
        <x:v>2019893</x:v>
      </x:c>
      <x:c r="L83" s="9">
        <x:f>SUM(L73:L82)</x:f>
        <x:v>38430</x:v>
      </x:c>
      <x:c r="M83" s="10">
        <x:f>SUM(M73:M82)</x:f>
        <x:v>2058323</x:v>
      </x:c>
      <x:c r="N83" s="11"/>
      <x:c r="U83" s="1"/>
    </x:row>
    <x:row r="84" spans="1:21" s="2" customFormat="1" ht="20.100000000000001" customHeight="1">
      <x:c r="A84" s="12" t="s">
        <x:v>1690</x:v>
      </x:c>
      <x:c r="B84" s="13"/>
      <x:c r="C84" s="13"/>
      <x:c r="D84" s="14">
        <x:f>+D62+D67+D72+D83</x:f>
        <x:v>5610800</x:v>
      </x:c>
      <x:c r="E84" s="14">
        <x:f>+E62+E67+E72+E83</x:f>
        <x:v>69300</x:v>
      </x:c>
      <x:c r="F84" s="15">
        <x:f>+F62+F67+F72+F83</x:f>
        <x:v>5680100</x:v>
      </x:c>
      <x:c r="G84" s="16"/>
      <x:c r="H84" s="12" t="s">
        <x:v>1690</x:v>
      </x:c>
      <x:c r="I84" s="13"/>
      <x:c r="J84" s="13"/>
      <x:c r="K84" s="14">
        <x:f>+K62+K67+K72+K83</x:f>
        <x:v>23668263</x:v>
      </x:c>
      <x:c r="L84" s="14">
        <x:f>+L62+L67+L72+L83</x:f>
        <x:v>1058267</x:v>
      </x:c>
      <x:c r="M84" s="15">
        <x:f>+M62+M67+M72+M83</x:f>
        <x:v>24726530</x:v>
      </x:c>
      <x:c r="N84" s="16"/>
      <x:c r="U84" s="1"/>
    </x:row>
    <x:row r="85" spans="1:21" s="2" customFormat="1" ht="20.100000000000001" customHeight="1">
      <x:c r="A85" s="23" t="s">
        <x:v>35</x:v>
      </x:c>
      <x:c r="B85" s="24"/>
      <x:c r="C85" s="24"/>
      <x:c r="D85" s="25">
        <x:f>+D45-D84</x:f>
        <x:v>-5610800</x:v>
      </x:c>
      <x:c r="E85" s="25">
        <x:f>+E45-E84</x:f>
        <x:v>-69300</x:v>
      </x:c>
      <x:c r="F85" s="26">
        <x:f>+F45-F84</x:f>
        <x:v>-5680100</x:v>
      </x:c>
      <x:c r="G85" s="27"/>
      <x:c r="H85" s="23" t="s">
        <x:v>35</x:v>
      </x:c>
      <x:c r="I85" s="24"/>
      <x:c r="J85" s="24"/>
      <x:c r="K85" s="25">
        <x:f>+K45-K84</x:f>
        <x:v>-23668263</x:v>
      </x:c>
      <x:c r="L85" s="25">
        <x:f>+L45-L84</x:f>
        <x:v>-1058267</x:v>
      </x:c>
      <x:c r="M85" s="26">
        <x:f>+M45-M84</x:f>
        <x:v>-24726530</x:v>
      </x:c>
      <x:c r="N85" s="27"/>
      <x:c r="U85" s="1"/>
    </x:row>
    <x:row r="86" spans="1:21" s="2" customFormat="1" ht="20.100000000000001" customHeight="1">
      <x:c r="A86" s="302" t="s">
        <x:v>415</x:v>
      </x:c>
      <x:c r="B86" s="303"/>
      <x:c r="C86" s="303"/>
      <x:c r="D86" s="303"/>
      <x:c r="E86" s="303"/>
      <x:c r="F86" s="304"/>
      <x:c r="G86" s="305"/>
      <x:c r="H86" s="302" t="s">
        <x:v>466</x:v>
      </x:c>
      <x:c r="I86" s="303"/>
      <x:c r="J86" s="303"/>
      <x:c r="K86" s="303"/>
      <x:c r="L86" s="303"/>
      <x:c r="M86" s="304"/>
      <x:c r="N86" s="305"/>
      <x:c r="U86" s="1"/>
    </x:row>
    <x:row r="87" spans="1:21" s="2" customFormat="1" ht="20.100000000000001" customHeight="1">
      <x:c r="A87" s="29" t="s">
        <x:v>147</x:v>
      </x:c>
      <x:c r="B87" s="192" t="s">
        <x:v>144</x:v>
      </x:c>
      <x:c r="C87" s="192" t="s">
        <x:v>150</x:v>
      </x:c>
      <x:c r="D87" s="31" t="s">
        <x:v>145</x:v>
      </x:c>
      <x:c r="E87" s="31" t="s">
        <x:v>152</x:v>
      </x:c>
      <x:c r="F87" s="31" t="s">
        <x:v>146</x:v>
      </x:c>
      <x:c r="G87" s="34" t="s">
        <x:v>154</x:v>
      </x:c>
      <x:c r="H87" s="29" t="s">
        <x:v>147</x:v>
      </x:c>
      <x:c r="I87" s="192" t="s">
        <x:v>144</x:v>
      </x:c>
      <x:c r="J87" s="192" t="s">
        <x:v>150</x:v>
      </x:c>
      <x:c r="K87" s="31" t="s">
        <x:v>145</x:v>
      </x:c>
      <x:c r="L87" s="31" t="s">
        <x:v>152</x:v>
      </x:c>
      <x:c r="M87" s="32" t="s">
        <x:v>146</x:v>
      </x:c>
      <x:c r="N87" s="33" t="s">
        <x:v>154</x:v>
      </x:c>
      <x:c r="U87" s="1"/>
    </x:row>
    <x:row r="88" spans="1:21" s="2" customFormat="1" ht="20.100000000000001" customHeight="1">
      <x:c r="A88" s="41" t="s">
        <x:v>151</x:v>
      </x:c>
      <x:c r="B88" s="38" t="s">
        <x:v>1679</x:v>
      </x:c>
      <x:c r="C88" s="38" t="s">
        <x:v>791</x:v>
      </x:c>
      <x:c r="D88" s="39">
        <x:v>12000000</x:v>
      </x:c>
      <x:c r="E88" s="39">
        <x:f>+D88*0.1</x:f>
        <x:v>1200000</x:v>
      </x:c>
      <x:c r="F88" s="40">
        <x:f>+D88+E88</x:f>
        <x:v>13200000</x:v>
      </x:c>
      <x:c r="G88" s="42"/>
      <x:c r="H88" s="191" t="s">
        <x:v>151</x:v>
      </x:c>
      <x:c r="I88" s="38" t="s">
        <x:v>1679</x:v>
      </x:c>
      <x:c r="J88" s="38" t="s">
        <x:v>791</x:v>
      </x:c>
      <x:c r="K88" s="39">
        <x:v>10000000</x:v>
      </x:c>
      <x:c r="L88" s="39">
        <x:f>+K88*0.1</x:f>
        <x:v>1000000</x:v>
      </x:c>
      <x:c r="M88" s="40">
        <x:f t="shared" ref="M88:M95" si="15">+K88+L88</x:f>
        <x:v>11000000</x:v>
      </x:c>
      <x:c r="N88" s="18"/>
      <x:c r="U88" s="1"/>
    </x:row>
    <x:row r="89" spans="1:21" s="2" customFormat="1" ht="20.100000000000001" customHeight="1">
      <x:c r="A89" s="298" t="s">
        <x:v>148</x:v>
      </x:c>
      <x:c r="B89" s="19" t="s">
        <x:v>867</x:v>
      </x:c>
      <x:c r="C89" s="19" t="s">
        <x:v>369</x:v>
      </x:c>
      <x:c r="D89" s="20">
        <x:v>3024060</x:v>
      </x:c>
      <x:c r="E89" s="20">
        <x:f>+D89*0.1</x:f>
        <x:v>302406</x:v>
      </x:c>
      <x:c r="F89" s="21">
        <x:f t="shared" ref="F89:F95" si="16">+D89+E89</x:f>
        <x:v>3326466</x:v>
      </x:c>
      <x:c r="G89" s="22"/>
      <x:c r="H89" s="298" t="s">
        <x:v>148</x:v>
      </x:c>
      <x:c r="I89" s="54" t="s">
        <x:v>867</x:v>
      </x:c>
      <x:c r="J89" s="54" t="s">
        <x:v>440</x:v>
      </x:c>
      <x:c r="K89" s="93">
        <x:v>2022000</x:v>
      </x:c>
      <x:c r="L89" s="93">
        <x:f>+K89*0.1</x:f>
        <x:v>202200</x:v>
      </x:c>
      <x:c r="M89" s="94">
        <x:f t="shared" si="15"/>
        <x:v>2224200</x:v>
      </x:c>
      <x:c r="N89" s="95"/>
      <x:c r="U89" s="1"/>
    </x:row>
    <x:row r="90" spans="1:21" s="2" customFormat="1" ht="20.100000000000001" customHeight="1">
      <x:c r="A90" s="299"/>
      <x:c r="B90" s="3" t="s">
        <x:v>976</x:v>
      </x:c>
      <x:c r="C90" s="3"/>
      <x:c r="D90" s="4"/>
      <x:c r="E90" s="4">
        <x:f>D90*0.1</x:f>
        <x:v>0</x:v>
      </x:c>
      <x:c r="F90" s="5">
        <x:f t="shared" si="16"/>
        <x:v>0</x:v>
      </x:c>
      <x:c r="G90" s="6"/>
      <x:c r="H90" s="299"/>
      <x:c r="I90" s="162" t="s">
        <x:v>1348</x:v>
      </x:c>
      <x:c r="J90" s="162"/>
      <x:c r="K90" s="163"/>
      <x:c r="L90" s="163">
        <x:f>+K90*0.1</x:f>
        <x:v>0</x:v>
      </x:c>
      <x:c r="M90" s="164">
        <x:f t="shared" si="15"/>
        <x:v>0</x:v>
      </x:c>
      <x:c r="N90" s="158"/>
      <x:c r="U90" s="1"/>
    </x:row>
    <x:row r="91" spans="1:21" s="2" customFormat="1" ht="20.100000000000001" customHeight="1">
      <x:c r="A91" s="299"/>
      <x:c r="B91" s="3" t="s">
        <x:v>1348</x:v>
      </x:c>
      <x:c r="C91" s="3"/>
      <x:c r="D91" s="4"/>
      <x:c r="E91" s="4">
        <x:f t="shared" ref="E91:E104" si="17">+D91*0.1</x:f>
        <x:v>0</x:v>
      </x:c>
      <x:c r="F91" s="5">
        <x:f t="shared" si="16"/>
        <x:v>0</x:v>
      </x:c>
      <x:c r="G91" s="6"/>
      <x:c r="H91" s="299"/>
      <x:c r="I91" s="3" t="s">
        <x:v>902</x:v>
      </x:c>
      <x:c r="J91" s="3" t="s">
        <x:v>1396</x:v>
      </x:c>
      <x:c r="K91" s="4">
        <x:v>231500</x:v>
      </x:c>
      <x:c r="L91" s="4">
        <x:f>+K91*0.1</x:f>
        <x:v>23150</x:v>
      </x:c>
      <x:c r="M91" s="5">
        <x:f t="shared" si="15"/>
        <x:v>254650</x:v>
      </x:c>
      <x:c r="N91" s="6"/>
      <x:c r="U91" s="1"/>
    </x:row>
    <x:row r="92" spans="1:21" s="2" customFormat="1" ht="20.100000000000001" customHeight="1">
      <x:c r="A92" s="299"/>
      <x:c r="B92" s="3" t="s">
        <x:v>938</x:v>
      </x:c>
      <x:c r="C92" s="3" t="s">
        <x:v>1094</x:v>
      </x:c>
      <x:c r="D92" s="4">
        <x:v>2089500</x:v>
      </x:c>
      <x:c r="E92" s="4">
        <x:f t="shared" si="17"/>
        <x:v>208950</x:v>
      </x:c>
      <x:c r="F92" s="5">
        <x:f t="shared" si="16"/>
        <x:v>2298450</x:v>
      </x:c>
      <x:c r="G92" s="6"/>
      <x:c r="H92" s="299"/>
      <x:c r="I92" s="3" t="s">
        <x:v>938</x:v>
      </x:c>
      <x:c r="J92" s="3"/>
      <x:c r="K92" s="4"/>
      <x:c r="L92" s="4">
        <x:f>+K92*0.1</x:f>
        <x:v>0</x:v>
      </x:c>
      <x:c r="M92" s="5">
        <x:f t="shared" si="15"/>
        <x:v>0</x:v>
      </x:c>
      <x:c r="N92" s="6"/>
      <x:c r="U92" s="1"/>
    </x:row>
    <x:row r="93" spans="1:21" s="2" customFormat="1" ht="20.100000000000001" customHeight="1">
      <x:c r="A93" s="299"/>
      <x:c r="B93" s="3" t="s">
        <x:v>838</x:v>
      </x:c>
      <x:c r="C93" s="3" t="s">
        <x:v>475</x:v>
      </x:c>
      <x:c r="D93" s="4">
        <x:v>199800</x:v>
      </x:c>
      <x:c r="E93" s="4">
        <x:f t="shared" si="17"/>
        <x:v>19980</x:v>
      </x:c>
      <x:c r="F93" s="5">
        <x:f t="shared" si="16"/>
        <x:v>219780</x:v>
      </x:c>
      <x:c r="G93" s="6"/>
      <x:c r="H93" s="299"/>
      <x:c r="I93" s="3" t="s">
        <x:v>976</x:v>
      </x:c>
      <x:c r="J93" s="3"/>
      <x:c r="K93" s="4"/>
      <x:c r="L93" s="4">
        <x:f>+INT(K93*0.1)</x:f>
        <x:v>0</x:v>
      </x:c>
      <x:c r="M93" s="5">
        <x:f t="shared" si="15"/>
        <x:v>0</x:v>
      </x:c>
      <x:c r="N93" s="6"/>
      <x:c r="U93" s="1"/>
    </x:row>
    <x:row r="94" spans="1:21" s="2" customFormat="1" ht="20.100000000000001" customHeight="1">
      <x:c r="A94" s="299"/>
      <x:c r="B94" s="3" t="s">
        <x:v>1378</x:v>
      </x:c>
      <x:c r="C94" s="3" t="s">
        <x:v>1392</x:v>
      </x:c>
      <x:c r="D94" s="4">
        <x:v>212150</x:v>
      </x:c>
      <x:c r="E94" s="4">
        <x:f t="shared" si="17"/>
        <x:v>21215</x:v>
      </x:c>
      <x:c r="F94" s="5">
        <x:f t="shared" si="16"/>
        <x:v>233365</x:v>
      </x:c>
      <x:c r="G94" s="6"/>
      <x:c r="H94" s="299"/>
      <x:c r="I94" s="3" t="s">
        <x:v>483</x:v>
      </x:c>
      <x:c r="J94" s="3" t="s">
        <x:v>493</x:v>
      </x:c>
      <x:c r="K94" s="4">
        <x:v>428000</x:v>
      </x:c>
      <x:c r="L94" s="4">
        <x:f>+INT(K94*0.1)</x:f>
        <x:v>42800</x:v>
      </x:c>
      <x:c r="M94" s="5">
        <x:f t="shared" si="15"/>
        <x:v>470800</x:v>
      </x:c>
      <x:c r="N94" s="6"/>
      <x:c r="U94" s="1"/>
    </x:row>
    <x:row r="95" spans="1:21" s="2" customFormat="1" ht="20.100000000000001" customHeight="1">
      <x:c r="A95" s="299"/>
      <x:c r="B95" s="3" t="s">
        <x:v>846</x:v>
      </x:c>
      <x:c r="C95" s="3" t="s">
        <x:v>1108</x:v>
      </x:c>
      <x:c r="D95" s="4">
        <x:v>1375100</x:v>
      </x:c>
      <x:c r="E95" s="4">
        <x:f t="shared" si="17"/>
        <x:v>137510</x:v>
      </x:c>
      <x:c r="F95" s="5">
        <x:f t="shared" si="16"/>
        <x:v>1512610</x:v>
      </x:c>
      <x:c r="G95" s="6"/>
      <x:c r="H95" s="299"/>
      <x:c r="I95" s="3" t="s">
        <x:v>1378</x:v>
      </x:c>
      <x:c r="J95" s="3"/>
      <x:c r="K95" s="4"/>
      <x:c r="L95" s="4">
        <x:f>+K95*0.1</x:f>
        <x:v>0</x:v>
      </x:c>
      <x:c r="M95" s="5">
        <x:f t="shared" si="15"/>
        <x:v>0</x:v>
      </x:c>
      <x:c r="N95" s="6"/>
      <x:c r="U95" s="1"/>
    </x:row>
    <x:row r="96" spans="1:21" s="2" customFormat="1" ht="20.100000000000001" customHeight="1">
      <x:c r="A96" s="299"/>
      <x:c r="B96" s="3"/>
      <x:c r="C96" s="3"/>
      <x:c r="D96" s="4"/>
      <x:c r="E96" s="4">
        <x:f t="shared" si="17"/>
        <x:v>0</x:v>
      </x:c>
      <x:c r="F96" s="5">
        <x:f t="shared" ref="F96:F104" si="18">+D96+E96</x:f>
        <x:v>0</x:v>
      </x:c>
      <x:c r="G96" s="6"/>
      <x:c r="H96" s="299"/>
      <x:c r="I96" s="3" t="s">
        <x:v>846</x:v>
      </x:c>
      <x:c r="J96" s="3" t="s">
        <x:v>1300</x:v>
      </x:c>
      <x:c r="K96" s="4">
        <x:v>14000</x:v>
      </x:c>
      <x:c r="L96" s="4">
        <x:f>+K96*0.1</x:f>
        <x:v>1400</x:v>
      </x:c>
      <x:c r="M96" s="5">
        <x:f>+K96+L96</x:f>
        <x:v>15400</x:v>
      </x:c>
      <x:c r="N96" s="6"/>
      <x:c r="U96" s="1"/>
    </x:row>
    <x:row r="97" spans="1:21" s="2" customFormat="1" ht="20.100000000000001" customHeight="1">
      <x:c r="A97" s="299"/>
      <x:c r="B97" s="3"/>
      <x:c r="C97" s="3"/>
      <x:c r="D97" s="4"/>
      <x:c r="E97" s="4">
        <x:f t="shared" si="17"/>
        <x:v>0</x:v>
      </x:c>
      <x:c r="F97" s="5">
        <x:f t="shared" si="18"/>
        <x:v>0</x:v>
      </x:c>
      <x:c r="G97" s="6"/>
      <x:c r="H97" s="299"/>
      <x:c r="I97" s="3"/>
      <x:c r="J97" s="3"/>
      <x:c r="K97" s="4"/>
      <x:c r="L97" s="4"/>
      <x:c r="M97" s="5"/>
      <x:c r="N97" s="6"/>
      <x:c r="U97" s="1"/>
    </x:row>
    <x:row r="98" spans="1:21" s="2" customFormat="1" ht="20.100000000000001" customHeight="1">
      <x:c r="A98" s="299"/>
      <x:c r="B98" s="3"/>
      <x:c r="C98" s="3"/>
      <x:c r="D98" s="4"/>
      <x:c r="E98" s="4">
        <x:f t="shared" si="17"/>
        <x:v>0</x:v>
      </x:c>
      <x:c r="F98" s="5">
        <x:f t="shared" si="18"/>
        <x:v>0</x:v>
      </x:c>
      <x:c r="G98" s="6"/>
      <x:c r="H98" s="299"/>
      <x:c r="I98" s="3"/>
      <x:c r="J98" s="3"/>
      <x:c r="K98" s="4"/>
      <x:c r="L98" s="4">
        <x:f t="shared" ref="L98:L103" si="19">+INT(K98*0.1)</x:f>
        <x:v>0</x:v>
      </x:c>
      <x:c r="M98" s="5">
        <x:f t="shared" ref="M98:M103" si="20">+K98+L98</x:f>
        <x:v>0</x:v>
      </x:c>
      <x:c r="N98" s="6"/>
      <x:c r="U98" s="1"/>
    </x:row>
    <x:row r="99" spans="1:21" s="2" customFormat="1" ht="20.100000000000001" customHeight="1">
      <x:c r="A99" s="299"/>
      <x:c r="B99" s="3"/>
      <x:c r="C99" s="3"/>
      <x:c r="D99" s="4"/>
      <x:c r="E99" s="4">
        <x:f t="shared" si="17"/>
        <x:v>0</x:v>
      </x:c>
      <x:c r="F99" s="5">
        <x:f t="shared" si="18"/>
        <x:v>0</x:v>
      </x:c>
      <x:c r="G99" s="6"/>
      <x:c r="H99" s="299"/>
      <x:c r="I99" s="3"/>
      <x:c r="J99" s="3"/>
      <x:c r="K99" s="4"/>
      <x:c r="L99" s="4">
        <x:f t="shared" si="19"/>
        <x:v>0</x:v>
      </x:c>
      <x:c r="M99" s="5">
        <x:f t="shared" si="20"/>
        <x:v>0</x:v>
      </x:c>
      <x:c r="N99" s="6"/>
      <x:c r="U99" s="1"/>
    </x:row>
    <x:row r="100" spans="1:21" s="2" customFormat="1" ht="20.100000000000001" customHeight="1">
      <x:c r="A100" s="299"/>
      <x:c r="B100" s="3"/>
      <x:c r="C100" s="3"/>
      <x:c r="D100" s="4"/>
      <x:c r="E100" s="4">
        <x:f t="shared" si="17"/>
        <x:v>0</x:v>
      </x:c>
      <x:c r="F100" s="5">
        <x:f t="shared" si="18"/>
        <x:v>0</x:v>
      </x:c>
      <x:c r="G100" s="6"/>
      <x:c r="H100" s="299"/>
      <x:c r="I100" s="3"/>
      <x:c r="J100" s="3"/>
      <x:c r="K100" s="4"/>
      <x:c r="L100" s="4">
        <x:f t="shared" si="19"/>
        <x:v>0</x:v>
      </x:c>
      <x:c r="M100" s="5">
        <x:f t="shared" si="20"/>
        <x:v>0</x:v>
      </x:c>
      <x:c r="N100" s="6"/>
      <x:c r="U100" s="1"/>
    </x:row>
    <x:row r="101" spans="1:21" s="2" customFormat="1" ht="20.100000000000001" customHeight="1">
      <x:c r="A101" s="299"/>
      <x:c r="B101" s="3"/>
      <x:c r="C101" s="3"/>
      <x:c r="D101" s="4"/>
      <x:c r="E101" s="4">
        <x:f t="shared" si="17"/>
        <x:v>0</x:v>
      </x:c>
      <x:c r="F101" s="5">
        <x:f t="shared" si="18"/>
        <x:v>0</x:v>
      </x:c>
      <x:c r="G101" s="6"/>
      <x:c r="H101" s="299"/>
      <x:c r="I101" s="3"/>
      <x:c r="J101" s="3"/>
      <x:c r="K101" s="4"/>
      <x:c r="L101" s="4">
        <x:f t="shared" si="19"/>
        <x:v>0</x:v>
      </x:c>
      <x:c r="M101" s="5">
        <x:f t="shared" si="20"/>
        <x:v>0</x:v>
      </x:c>
      <x:c r="N101" s="6"/>
      <x:c r="U101" s="1"/>
    </x:row>
    <x:row r="102" spans="1:21" s="2" customFormat="1" ht="20.100000000000001" customHeight="1">
      <x:c r="A102" s="299"/>
      <x:c r="B102" s="3"/>
      <x:c r="C102" s="3"/>
      <x:c r="D102" s="4"/>
      <x:c r="E102" s="4">
        <x:f t="shared" si="17"/>
        <x:v>0</x:v>
      </x:c>
      <x:c r="F102" s="5">
        <x:f t="shared" si="18"/>
        <x:v>0</x:v>
      </x:c>
      <x:c r="G102" s="6"/>
      <x:c r="H102" s="299"/>
      <x:c r="I102" s="3"/>
      <x:c r="J102" s="3"/>
      <x:c r="K102" s="4"/>
      <x:c r="L102" s="4">
        <x:f t="shared" si="19"/>
        <x:v>0</x:v>
      </x:c>
      <x:c r="M102" s="5">
        <x:f t="shared" si="20"/>
        <x:v>0</x:v>
      </x:c>
      <x:c r="N102" s="6"/>
      <x:c r="U102" s="1"/>
    </x:row>
    <x:row r="103" spans="1:21" s="2" customFormat="1" ht="20.100000000000001" customHeight="1">
      <x:c r="A103" s="299"/>
      <x:c r="B103" s="3"/>
      <x:c r="C103" s="3"/>
      <x:c r="D103" s="4"/>
      <x:c r="E103" s="4">
        <x:f t="shared" si="17"/>
        <x:v>0</x:v>
      </x:c>
      <x:c r="F103" s="5">
        <x:f t="shared" si="18"/>
        <x:v>0</x:v>
      </x:c>
      <x:c r="G103" s="6"/>
      <x:c r="H103" s="299"/>
      <x:c r="I103" s="3"/>
      <x:c r="J103" s="3"/>
      <x:c r="K103" s="4"/>
      <x:c r="L103" s="4">
        <x:f t="shared" si="19"/>
        <x:v>0</x:v>
      </x:c>
      <x:c r="M103" s="5">
        <x:f t="shared" si="20"/>
        <x:v>0</x:v>
      </x:c>
      <x:c r="N103" s="6"/>
      <x:c r="U103" s="1"/>
    </x:row>
    <x:row r="104" spans="1:21" s="2" customFormat="1" ht="20.100000000000001" customHeight="1">
      <x:c r="A104" s="299"/>
      <x:c r="B104" s="3"/>
      <x:c r="C104" s="3"/>
      <x:c r="D104" s="4"/>
      <x:c r="E104" s="4">
        <x:f t="shared" si="17"/>
        <x:v>0</x:v>
      </x:c>
      <x:c r="F104" s="5">
        <x:f t="shared" si="18"/>
        <x:v>0</x:v>
      </x:c>
      <x:c r="G104" s="6"/>
      <x:c r="H104" s="300"/>
      <x:c r="I104" s="3"/>
      <x:c r="J104" s="3"/>
      <x:c r="K104" s="4"/>
      <x:c r="L104" s="4"/>
      <x:c r="M104" s="5"/>
      <x:c r="N104" s="6"/>
      <x:c r="U104" s="1"/>
    </x:row>
    <x:row r="105" spans="1:21" s="2" customFormat="1" ht="20.100000000000001" customHeight="1">
      <x:c r="A105" s="7"/>
      <x:c r="B105" s="8"/>
      <x:c r="C105" s="8"/>
      <x:c r="D105" s="9">
        <x:f>SUM(D89:D104)</x:f>
        <x:v>6900610</x:v>
      </x:c>
      <x:c r="E105" s="9">
        <x:f>SUM(E89:E104)</x:f>
        <x:v>690061</x:v>
      </x:c>
      <x:c r="F105" s="10">
        <x:f>SUM(F89:F104)</x:f>
        <x:v>7590671</x:v>
      </x:c>
      <x:c r="G105" s="11"/>
      <x:c r="H105" s="7" t="s">
        <x:v>155</x:v>
      </x:c>
      <x:c r="I105" s="8"/>
      <x:c r="J105" s="8"/>
      <x:c r="K105" s="9">
        <x:f>SUM(K89:K104)</x:f>
        <x:v>2695500</x:v>
      </x:c>
      <x:c r="L105" s="9">
        <x:f>SUM(L89:L104)</x:f>
        <x:v>269550</x:v>
      </x:c>
      <x:c r="M105" s="10">
        <x:f>SUM(M89:M104)</x:f>
        <x:v>2965050</x:v>
      </x:c>
      <x:c r="N105" s="11"/>
      <x:c r="U105" s="1"/>
    </x:row>
    <x:row r="106" spans="1:21" s="2" customFormat="1" ht="20.100000000000001" customHeight="1">
      <x:c r="A106" s="301" t="s">
        <x:v>153</x:v>
      </x:c>
      <x:c r="B106" s="3" t="s">
        <x:v>1677</x:v>
      </x:c>
      <x:c r="C106" s="3" t="s">
        <x:v>1096</x:v>
      </x:c>
      <x:c r="D106" s="4">
        <x:v>9140000</x:v>
      </x:c>
      <x:c r="E106" s="4"/>
      <x:c r="F106" s="5">
        <x:f>+D106+E106</x:f>
        <x:v>9140000</x:v>
      </x:c>
      <x:c r="G106" s="6"/>
      <x:c r="H106" s="301" t="s">
        <x:v>153</x:v>
      </x:c>
      <x:c r="I106" s="3" t="s">
        <x:v>1677</x:v>
      </x:c>
      <x:c r="J106" s="3" t="s">
        <x:v>1383</x:v>
      </x:c>
      <x:c r="K106" s="4">
        <x:v>6035000</x:v>
      </x:c>
      <x:c r="L106" s="44"/>
      <x:c r="M106" s="45">
        <x:f>+K106+L106</x:f>
        <x:v>6035000</x:v>
      </x:c>
      <x:c r="N106" s="37"/>
      <x:c r="U106" s="1"/>
    </x:row>
    <x:row r="107" spans="1:21" s="2" customFormat="1" ht="20.100000000000001" customHeight="1">
      <x:c r="A107" s="299"/>
      <x:c r="B107" s="3"/>
      <x:c r="C107" s="3"/>
      <x:c r="D107" s="4"/>
      <x:c r="E107" s="4"/>
      <x:c r="F107" s="5">
        <x:f>+D107+E107</x:f>
        <x:v>0</x:v>
      </x:c>
      <x:c r="G107" s="6"/>
      <x:c r="H107" s="299"/>
      <x:c r="I107" s="3"/>
      <x:c r="J107" s="3"/>
      <x:c r="K107" s="4"/>
      <x:c r="L107" s="44">
        <x:f>+K107*0.1</x:f>
        <x:v>0</x:v>
      </x:c>
      <x:c r="M107" s="45">
        <x:f>+K107+L107</x:f>
        <x:v>0</x:v>
      </x:c>
      <x:c r="N107" s="37"/>
      <x:c r="U107" s="1"/>
    </x:row>
    <x:row r="108" spans="1:21" s="2" customFormat="1" ht="20.100000000000001" customHeight="1">
      <x:c r="A108" s="299"/>
      <x:c r="B108" s="3"/>
      <x:c r="C108" s="3"/>
      <x:c r="D108" s="4"/>
      <x:c r="E108" s="4">
        <x:f>+D108*0.1</x:f>
        <x:v>0</x:v>
      </x:c>
      <x:c r="F108" s="5">
        <x:f>+D108+E108</x:f>
        <x:v>0</x:v>
      </x:c>
      <x:c r="G108" s="6"/>
      <x:c r="H108" s="299"/>
      <x:c r="I108" s="3"/>
      <x:c r="J108" s="3"/>
      <x:c r="K108" s="4"/>
      <x:c r="L108" s="4">
        <x:f>+K108*0.1</x:f>
        <x:v>0</x:v>
      </x:c>
      <x:c r="M108" s="5">
        <x:f>+K108+L108</x:f>
        <x:v>0</x:v>
      </x:c>
      <x:c r="N108" s="6"/>
      <x:c r="U108" s="1"/>
    </x:row>
    <x:row r="109" spans="1:21" s="2" customFormat="1" ht="20.100000000000001" customHeight="1">
      <x:c r="A109" s="300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300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  <x:c r="U109" s="1"/>
    </x:row>
    <x:row r="110" spans="1:21" s="2" customFormat="1" ht="20.100000000000001" customHeight="1">
      <x:c r="A110" s="7"/>
      <x:c r="B110" s="8"/>
      <x:c r="C110" s="8"/>
      <x:c r="D110" s="9">
        <x:f>SUM(D106:D109)</x:f>
        <x:v>9140000</x:v>
      </x:c>
      <x:c r="E110" s="9">
        <x:f>SUM(E106:E109)</x:f>
        <x:v>0</x:v>
      </x:c>
      <x:c r="F110" s="10">
        <x:f>SUM(F106:F109)</x:f>
        <x:v>9140000</x:v>
      </x:c>
      <x:c r="G110" s="11"/>
      <x:c r="H110" s="7" t="s">
        <x:v>155</x:v>
      </x:c>
      <x:c r="I110" s="8"/>
      <x:c r="J110" s="8"/>
      <x:c r="K110" s="9">
        <x:f>SUM(K106:K109)</x:f>
        <x:v>6035000</x:v>
      </x:c>
      <x:c r="L110" s="9">
        <x:f>SUM(L106:L109)</x:f>
        <x:v>0</x:v>
      </x:c>
      <x:c r="M110" s="10">
        <x:f>SUM(M106:M109)</x:f>
        <x:v>6035000</x:v>
      </x:c>
      <x:c r="N110" s="11"/>
      <x:c r="U110" s="1"/>
    </x:row>
    <x:row r="111" spans="1:21" s="2" customFormat="1" ht="20.100000000000001" customHeight="1">
      <x:c r="A111" s="301" t="s">
        <x:v>187</x:v>
      </x:c>
      <x:c r="B111" s="3" t="s">
        <x:v>1124</x:v>
      </x:c>
      <x:c r="C111" s="3" t="s">
        <x:v>1006</x:v>
      </x:c>
      <x:c r="D111" s="4">
        <x:v>486000</x:v>
      </x:c>
      <x:c r="E111" s="4">
        <x:f>+D111*0.1</x:f>
        <x:v>48600</x:v>
      </x:c>
      <x:c r="F111" s="5">
        <x:f>+D111+E111</x:f>
        <x:v>534600</x:v>
      </x:c>
      <x:c r="G111" s="6"/>
      <x:c r="H111" s="301" t="s">
        <x:v>187</x:v>
      </x:c>
      <x:c r="I111" s="3"/>
      <x:c r="J111" s="3"/>
      <x:c r="K111" s="4"/>
      <x:c r="L111" s="4">
        <x:f>+K111*0.1</x:f>
        <x:v>0</x:v>
      </x:c>
      <x:c r="M111" s="5">
        <x:f>+K111+L111</x:f>
        <x:v>0</x:v>
      </x:c>
      <x:c r="N111" s="6"/>
      <x:c r="U111" s="1"/>
    </x:row>
    <x:row r="112" spans="1:21" s="2" customFormat="1" ht="20.100000000000001" customHeight="1">
      <x:c r="A112" s="299"/>
      <x:c r="B112" s="3"/>
      <x:c r="C112" s="3"/>
      <x:c r="D112" s="4"/>
      <x:c r="E112" s="4">
        <x:f>+D112*0.1</x:f>
        <x:v>0</x:v>
      </x:c>
      <x:c r="F112" s="5">
        <x:f>+D112+E112</x:f>
        <x:v>0</x:v>
      </x:c>
      <x:c r="G112" s="6"/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  <x:c r="U112" s="1"/>
    </x:row>
    <x:row r="113" spans="1:21" s="2" customFormat="1" ht="20.100000000000001" customHeight="1">
      <x:c r="A113" s="299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  <x:c r="U113" s="1"/>
    </x:row>
    <x:row r="114" spans="1:21" s="2" customFormat="1" ht="20.100000000000001" customHeight="1">
      <x:c r="A114" s="300"/>
      <x:c r="B114" s="3"/>
      <x:c r="C114" s="3"/>
      <x:c r="D114" s="4"/>
      <x:c r="E114" s="4">
        <x:f>+D114*0.1</x:f>
        <x:v>0</x:v>
      </x:c>
      <x:c r="F114" s="5">
        <x:f>+D114+E114</x:f>
        <x:v>0</x:v>
      </x:c>
      <x:c r="G114" s="6"/>
      <x:c r="H114" s="300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  <x:c r="U114" s="1"/>
    </x:row>
    <x:row r="115" spans="1:21" s="2" customFormat="1" ht="20.100000000000001" customHeight="1">
      <x:c r="A115" s="7"/>
      <x:c r="B115" s="8"/>
      <x:c r="C115" s="8"/>
      <x:c r="D115" s="9">
        <x:f>SUM(D111:D114)</x:f>
        <x:v>486000</x:v>
      </x:c>
      <x:c r="E115" s="9">
        <x:f>SUM(E111:E114)</x:f>
        <x:v>48600</x:v>
      </x:c>
      <x:c r="F115" s="10">
        <x:f>SUM(F111:F114)</x:f>
        <x:v>534600</x:v>
      </x:c>
      <x:c r="G115" s="11"/>
      <x:c r="H115" s="7" t="s">
        <x:v>155</x:v>
      </x:c>
      <x:c r="I115" s="8"/>
      <x:c r="J115" s="8"/>
      <x:c r="K115" s="9">
        <x:f>SUM(K111:K114)</x:f>
        <x:v>0</x:v>
      </x:c>
      <x:c r="L115" s="9">
        <x:f>SUM(L111:L114)</x:f>
        <x:v>0</x:v>
      </x:c>
      <x:c r="M115" s="10">
        <x:f>SUM(M111:M114)</x:f>
        <x:v>0</x:v>
      </x:c>
      <x:c r="N115" s="11"/>
      <x:c r="U115" s="1"/>
    </x:row>
    <x:row r="116" spans="1:21" s="2" customFormat="1" ht="20.100000000000001" customHeight="1">
      <x:c r="A116" s="301" t="s">
        <x:v>149</x:v>
      </x:c>
      <x:c r="B116" s="3" t="s">
        <x:v>177</x:v>
      </x:c>
      <x:c r="C116" s="3" t="s">
        <x:v>149</x:v>
      </x:c>
      <x:c r="D116" s="4">
        <x:v>590650</x:v>
      </x:c>
      <x:c r="E116" s="4"/>
      <x:c r="F116" s="5">
        <x:f t="shared" ref="F116:F122" si="21">+D116+E116</x:f>
        <x:v>590650</x:v>
      </x:c>
      <x:c r="G116" s="6"/>
      <x:c r="H116" s="301" t="s">
        <x:v>149</x:v>
      </x:c>
      <x:c r="I116" s="3" t="s">
        <x:v>177</x:v>
      </x:c>
      <x:c r="J116" s="3" t="s">
        <x:v>149</x:v>
      </x:c>
      <x:c r="K116" s="4">
        <x:v>591470</x:v>
      </x:c>
      <x:c r="L116" s="4"/>
      <x:c r="M116" s="5">
        <x:f t="shared" ref="M116:M125" si="22">+K116+L116</x:f>
        <x:v>591470</x:v>
      </x:c>
      <x:c r="N116" s="6"/>
      <x:c r="U116" s="1"/>
    </x:row>
    <x:row r="117" spans="1:21" s="2" customFormat="1" ht="20.100000000000001" customHeight="1">
      <x:c r="A117" s="299"/>
      <x:c r="B117" s="3" t="s">
        <x:v>601</x:v>
      </x:c>
      <x:c r="C117" s="3" t="s">
        <x:v>962</x:v>
      </x:c>
      <x:c r="D117" s="4">
        <x:v>258000</x:v>
      </x:c>
      <x:c r="E117" s="4">
        <x:f>+D117*0.1</x:f>
        <x:v>25800</x:v>
      </x:c>
      <x:c r="F117" s="5">
        <x:f t="shared" si="21"/>
        <x:v>283800</x:v>
      </x:c>
      <x:c r="G117" s="6"/>
      <x:c r="H117" s="299"/>
      <x:c r="I117" s="3" t="s">
        <x:v>1359</x:v>
      </x:c>
      <x:c r="J117" s="3" t="s">
        <x:v>1356</x:v>
      </x:c>
      <x:c r="K117" s="4">
        <x:v>216000</x:v>
      </x:c>
      <x:c r="L117" s="4">
        <x:f>+K117*0.1</x:f>
        <x:v>21600</x:v>
      </x:c>
      <x:c r="M117" s="5">
        <x:f t="shared" si="22"/>
        <x:v>237600</x:v>
      </x:c>
      <x:c r="N117" s="6"/>
      <x:c r="U117" s="1"/>
    </x:row>
    <x:row r="118" spans="1:21" s="2" customFormat="1" ht="20.100000000000001" customHeight="1">
      <x:c r="A118" s="299"/>
      <x:c r="B118" s="3" t="s">
        <x:v>926</x:v>
      </x:c>
      <x:c r="C118" s="3" t="s">
        <x:v>409</x:v>
      </x:c>
      <x:c r="D118" s="4">
        <x:v>367870</x:v>
      </x:c>
      <x:c r="E118" s="4"/>
      <x:c r="F118" s="5">
        <x:f t="shared" si="21"/>
        <x:v>367870</x:v>
      </x:c>
      <x:c r="G118" s="6"/>
      <x:c r="H118" s="299"/>
      <x:c r="I118" s="3"/>
      <x:c r="J118" s="3"/>
      <x:c r="K118" s="4"/>
      <x:c r="L118" s="4"/>
      <x:c r="M118" s="5">
        <x:f t="shared" si="22"/>
        <x:v>0</x:v>
      </x:c>
      <x:c r="N118" s="6"/>
      <x:c r="U118" s="1"/>
    </x:row>
    <x:row r="119" spans="1:21" s="2" customFormat="1" ht="20.100000000000001" customHeight="1">
      <x:c r="A119" s="299"/>
      <x:c r="B119" s="3" t="s">
        <x:v>947</x:v>
      </x:c>
      <x:c r="C119" s="3" t="s">
        <x:v>914</x:v>
      </x:c>
      <x:c r="D119" s="4">
        <x:v>50000</x:v>
      </x:c>
      <x:c r="E119" s="4">
        <x:f>+D119*0.1</x:f>
        <x:v>5000</x:v>
      </x:c>
      <x:c r="F119" s="5">
        <x:f t="shared" si="21"/>
        <x:v>55000</x:v>
      </x:c>
      <x:c r="G119" s="6"/>
      <x:c r="H119" s="299"/>
      <x:c r="I119" s="3"/>
      <x:c r="J119" s="3"/>
      <x:c r="K119" s="4"/>
      <x:c r="L119" s="4"/>
      <x:c r="M119" s="5">
        <x:f t="shared" si="22"/>
        <x:v>0</x:v>
      </x:c>
      <x:c r="N119" s="6"/>
      <x:c r="U119" s="1"/>
    </x:row>
    <x:row r="120" spans="1:21" s="2" customFormat="1" ht="20.100000000000001" customHeight="1">
      <x:c r="A120" s="299"/>
      <x:c r="B120" s="3" t="s">
        <x:v>1327</x:v>
      </x:c>
      <x:c r="C120" s="3" t="s">
        <x:v>167</x:v>
      </x:c>
      <x:c r="D120" s="4">
        <x:v>49000</x:v>
      </x:c>
      <x:c r="E120" s="4">
        <x:f>+D120*0.1</x:f>
        <x:v>4900</x:v>
      </x:c>
      <x:c r="F120" s="5">
        <x:f t="shared" si="21"/>
        <x:v>53900</x:v>
      </x:c>
      <x:c r="G120" s="6"/>
      <x:c r="H120" s="299"/>
      <x:c r="I120" s="3"/>
      <x:c r="J120" s="3"/>
      <x:c r="K120" s="4"/>
      <x:c r="L120" s="4">
        <x:f>+K120*0.1</x:f>
        <x:v>0</x:v>
      </x:c>
      <x:c r="M120" s="5">
        <x:f t="shared" si="22"/>
        <x:v>0</x:v>
      </x:c>
      <x:c r="N120" s="6"/>
      <x:c r="U120" s="1"/>
    </x:row>
    <x:row r="121" spans="1:21" s="2" customFormat="1" ht="20.100000000000001" customHeight="1">
      <x:c r="A121" s="299"/>
      <x:c r="B121" s="3" t="s">
        <x:v>247</x:v>
      </x:c>
      <x:c r="C121" s="3" t="s">
        <x:v>231</x:v>
      </x:c>
      <x:c r="D121" s="4">
        <x:v>20000</x:v>
      </x:c>
      <x:c r="E121" s="4">
        <x:f>+D121*0.1</x:f>
        <x:v>2000</x:v>
      </x:c>
      <x:c r="F121" s="5">
        <x:f t="shared" si="21"/>
        <x:v>22000</x:v>
      </x:c>
      <x:c r="G121" s="6"/>
      <x:c r="H121" s="299"/>
      <x:c r="I121" s="3"/>
      <x:c r="J121" s="3"/>
      <x:c r="K121" s="4"/>
      <x:c r="L121" s="4">
        <x:f>+K121*0.1</x:f>
        <x:v>0</x:v>
      </x:c>
      <x:c r="M121" s="5">
        <x:f t="shared" si="22"/>
        <x:v>0</x:v>
      </x:c>
      <x:c r="N121" s="6"/>
      <x:c r="U121" s="1"/>
    </x:row>
    <x:row r="122" spans="1:21" s="2" customFormat="1" ht="20.100000000000001" customHeight="1">
      <x:c r="A122" s="299"/>
      <x:c r="B122" s="3" t="s">
        <x:v>683</x:v>
      </x:c>
      <x:c r="C122" s="3" t="s">
        <x:v>268</x:v>
      </x:c>
      <x:c r="D122" s="4">
        <x:v>95216</x:v>
      </x:c>
      <x:c r="E122" s="4">
        <x:f>+D122*0.1</x:f>
        <x:v>9521.6000000000004</x:v>
      </x:c>
      <x:c r="F122" s="5">
        <x:f t="shared" si="21"/>
        <x:v>104737.60000000001</x:v>
      </x:c>
      <x:c r="G122" s="6" t="s">
        <x:v>1403</x:v>
      </x:c>
      <x:c r="H122" s="299"/>
      <x:c r="I122" s="3"/>
      <x:c r="J122" s="3"/>
      <x:c r="K122" s="4"/>
      <x:c r="L122" s="4"/>
      <x:c r="M122" s="5">
        <x:f t="shared" si="22"/>
        <x:v>0</x:v>
      </x:c>
      <x:c r="N122" s="6"/>
      <x:c r="U122" s="1"/>
    </x:row>
    <x:row r="123" spans="1:21" s="2" customFormat="1" ht="20.100000000000001" customHeight="1">
      <x:c r="A123" s="299"/>
      <x:c r="B123" s="3"/>
      <x:c r="C123" s="3"/>
      <x:c r="D123" s="4"/>
      <x:c r="E123" s="4"/>
      <x:c r="F123" s="5"/>
      <x:c r="G123" s="6"/>
      <x:c r="H123" s="299"/>
      <x:c r="I123" s="3"/>
      <x:c r="J123" s="3"/>
      <x:c r="K123" s="4"/>
      <x:c r="L123" s="4">
        <x:f>+K123*0.1</x:f>
        <x:v>0</x:v>
      </x:c>
      <x:c r="M123" s="5">
        <x:f t="shared" si="22"/>
        <x:v>0</x:v>
      </x:c>
      <x:c r="N123" s="6"/>
      <x:c r="U123" s="1"/>
    </x:row>
    <x:row r="124" spans="1:21" s="2" customFormat="1" ht="20.100000000000001" customHeight="1">
      <x:c r="A124" s="299"/>
      <x:c r="B124" s="3"/>
      <x:c r="C124" s="3"/>
      <x:c r="D124" s="4"/>
      <x:c r="E124" s="4"/>
      <x:c r="F124" s="5"/>
      <x:c r="G124" s="6"/>
      <x:c r="H124" s="299"/>
      <x:c r="I124" s="3"/>
      <x:c r="J124" s="3"/>
      <x:c r="K124" s="4"/>
      <x:c r="L124" s="4"/>
      <x:c r="M124" s="5">
        <x:f t="shared" si="22"/>
        <x:v>0</x:v>
      </x:c>
      <x:c r="N124" s="6"/>
      <x:c r="U124" s="1"/>
    </x:row>
    <x:row r="125" spans="1:21" s="2" customFormat="1" ht="20.100000000000001" customHeight="1">
      <x:c r="A125" s="300"/>
      <x:c r="B125" s="3"/>
      <x:c r="C125" s="3"/>
      <x:c r="D125" s="4"/>
      <x:c r="E125" s="4"/>
      <x:c r="F125" s="5"/>
      <x:c r="G125" s="6"/>
      <x:c r="H125" s="300"/>
      <x:c r="I125" s="3"/>
      <x:c r="J125" s="3"/>
      <x:c r="K125" s="4"/>
      <x:c r="L125" s="4"/>
      <x:c r="M125" s="5">
        <x:f t="shared" si="22"/>
        <x:v>0</x:v>
      </x:c>
      <x:c r="N125" s="6"/>
      <x:c r="U125" s="1"/>
    </x:row>
    <x:row r="126" spans="1:21" s="2" customFormat="1" ht="20.100000000000001" customHeight="1">
      <x:c r="A126" s="7"/>
      <x:c r="B126" s="8"/>
      <x:c r="C126" s="8"/>
      <x:c r="D126" s="9">
        <x:f>SUM(D116:D125)</x:f>
        <x:v>1430736</x:v>
      </x:c>
      <x:c r="E126" s="9">
        <x:f>SUM(E116:E125)</x:f>
        <x:v>47221.599999999999</x:v>
      </x:c>
      <x:c r="F126" s="10">
        <x:f>SUM(F116:F125)</x:f>
        <x:v>1477957.6000000001</x:v>
      </x:c>
      <x:c r="G126" s="11"/>
      <x:c r="H126" s="7" t="s">
        <x:v>155</x:v>
      </x:c>
      <x:c r="I126" s="8"/>
      <x:c r="J126" s="8"/>
      <x:c r="K126" s="9">
        <x:f>SUM(K116:K125)</x:f>
        <x:v>807470</x:v>
      </x:c>
      <x:c r="L126" s="9">
        <x:f>SUM(L116:L125)</x:f>
        <x:v>21600</x:v>
      </x:c>
      <x:c r="M126" s="10">
        <x:f>SUM(M116:M125)</x:f>
        <x:v>829070</x:v>
      </x:c>
      <x:c r="N126" s="11"/>
      <x:c r="U126" s="1"/>
    </x:row>
    <x:row r="127" spans="1:21" s="2" customFormat="1" ht="20.100000000000001" customHeight="1">
      <x:c r="A127" s="12"/>
      <x:c r="B127" s="13"/>
      <x:c r="C127" s="13"/>
      <x:c r="D127" s="14">
        <x:f>+D105+D110+D115+D126</x:f>
        <x:v>17957346</x:v>
      </x:c>
      <x:c r="E127" s="14">
        <x:f>+E105+E110+E115+E126</x:f>
        <x:v>785882.59999999998</x:v>
      </x:c>
      <x:c r="F127" s="15">
        <x:f>+F105+F110+F115+F126</x:f>
        <x:v>18743228.600000001</x:v>
      </x:c>
      <x:c r="G127" s="16"/>
      <x:c r="H127" s="12" t="s">
        <x:v>1690</x:v>
      </x:c>
      <x:c r="I127" s="13"/>
      <x:c r="J127" s="13"/>
      <x:c r="K127" s="14">
        <x:f>+K105+K110+K115+K126</x:f>
        <x:v>9537970</x:v>
      </x:c>
      <x:c r="L127" s="14">
        <x:f>+L105+L110+L115+L126</x:f>
        <x:v>291150</x:v>
      </x:c>
      <x:c r="M127" s="15">
        <x:f>+M105+M110+M115+M126</x:f>
        <x:v>9829120</x:v>
      </x:c>
      <x:c r="N127" s="16"/>
      <x:c r="U127" s="1"/>
    </x:row>
    <x:row r="128" spans="1:21" s="2" customFormat="1" ht="20.100000000000001" customHeight="1">
      <x:c r="A128" s="23"/>
      <x:c r="B128" s="24"/>
      <x:c r="C128" s="24"/>
      <x:c r="D128" s="25">
        <x:f>+D88-D127</x:f>
        <x:v>-5957346</x:v>
      </x:c>
      <x:c r="E128" s="25">
        <x:f>+E88-E127</x:f>
        <x:v>414117.40000000002</x:v>
      </x:c>
      <x:c r="F128" s="26">
        <x:f>+F88-F127</x:f>
        <x:v>-5543228.6000000015</x:v>
      </x:c>
      <x:c r="G128" s="27"/>
      <x:c r="H128" s="23" t="s">
        <x:v>35</x:v>
      </x:c>
      <x:c r="I128" s="24"/>
      <x:c r="J128" s="24"/>
      <x:c r="K128" s="25">
        <x:f>+K88-K127</x:f>
        <x:v>462030</x:v>
      </x:c>
      <x:c r="L128" s="25">
        <x:f>+L88-L127</x:f>
        <x:v>708850</x:v>
      </x:c>
      <x:c r="M128" s="26">
        <x:f>+M88-M127</x:f>
        <x:v>1170880</x:v>
      </x:c>
      <x:c r="N128" s="27"/>
      <x:c r="U128" s="1"/>
    </x:row>
    <x:row r="129" spans="1:21" s="2" customFormat="1" ht="20.100000000000001" customHeight="1">
      <x:c r="A129" s="302" t="s">
        <x:v>423</x:v>
      </x:c>
      <x:c r="B129" s="303"/>
      <x:c r="C129" s="303"/>
      <x:c r="D129" s="303"/>
      <x:c r="E129" s="303"/>
      <x:c r="F129" s="304"/>
      <x:c r="G129" s="305"/>
      <x:c r="H129" s="302" t="s">
        <x:v>426</x:v>
      </x:c>
      <x:c r="I129" s="303"/>
      <x:c r="J129" s="303"/>
      <x:c r="K129" s="303"/>
      <x:c r="L129" s="303"/>
      <x:c r="M129" s="304"/>
      <x:c r="N129" s="305"/>
      <x:c r="U129" s="1"/>
    </x:row>
    <x:row r="130" spans="1:21" s="2" customFormat="1" ht="20.100000000000001" customHeight="1">
      <x:c r="A130" s="29" t="s">
        <x:v>147</x:v>
      </x:c>
      <x:c r="B130" s="192" t="s">
        <x:v>144</x:v>
      </x:c>
      <x:c r="C130" s="192" t="s">
        <x:v>150</x:v>
      </x:c>
      <x:c r="D130" s="31" t="s">
        <x:v>145</x:v>
      </x:c>
      <x:c r="E130" s="31" t="s">
        <x:v>152</x:v>
      </x:c>
      <x:c r="F130" s="32" t="s">
        <x:v>146</x:v>
      </x:c>
      <x:c r="G130" s="33" t="s">
        <x:v>154</x:v>
      </x:c>
      <x:c r="H130" s="29" t="s">
        <x:v>147</x:v>
      </x:c>
      <x:c r="I130" s="192" t="s">
        <x:v>144</x:v>
      </x:c>
      <x:c r="J130" s="192" t="s">
        <x:v>150</x:v>
      </x:c>
      <x:c r="K130" s="31" t="s">
        <x:v>145</x:v>
      </x:c>
      <x:c r="L130" s="31" t="s">
        <x:v>152</x:v>
      </x:c>
      <x:c r="M130" s="31" t="s">
        <x:v>146</x:v>
      </x:c>
      <x:c r="N130" s="34" t="s">
        <x:v>154</x:v>
      </x:c>
      <x:c r="U130" s="1"/>
    </x:row>
    <x:row r="131" spans="1:21" s="2" customFormat="1" ht="20.100000000000001" customHeight="1">
      <x:c r="A131" s="191" t="s">
        <x:v>151</x:v>
      </x:c>
      <x:c r="B131" s="38" t="s">
        <x:v>1679</x:v>
      </x:c>
      <x:c r="C131" s="38" t="s">
        <x:v>156</x:v>
      </x:c>
      <x:c r="D131" s="39">
        <x:v>343943000</x:v>
      </x:c>
      <x:c r="E131" s="39">
        <x:f>+D131*0.1</x:f>
        <x:v>34394300</x:v>
      </x:c>
      <x:c r="F131" s="40">
        <x:f t="shared" ref="F131:F146" si="23">+D131+E131</x:f>
        <x:v>378337300</x:v>
      </x:c>
      <x:c r="G131" s="18"/>
      <x:c r="H131" s="41" t="s">
        <x:v>151</x:v>
      </x:c>
      <x:c r="I131" s="38"/>
      <x:c r="J131" s="38"/>
      <x:c r="K131" s="39"/>
      <x:c r="L131" s="39"/>
      <x:c r="M131" s="40">
        <x:f>+K131+L131</x:f>
        <x:v>0</x:v>
      </x:c>
      <x:c r="N131" s="42"/>
      <x:c r="U131" s="1"/>
    </x:row>
    <x:row r="132" spans="1:21" s="2" customFormat="1" ht="20.100000000000001" customHeight="1">
      <x:c r="A132" s="298" t="s">
        <x:v>148</x:v>
      </x:c>
      <x:c r="B132" s="54" t="s">
        <x:v>1329</x:v>
      </x:c>
      <x:c r="C132" s="54" t="s">
        <x:v>1112</x:v>
      </x:c>
      <x:c r="D132" s="93"/>
      <x:c r="E132" s="93">
        <x:f>+D132*0.1</x:f>
        <x:v>0</x:v>
      </x:c>
      <x:c r="F132" s="94">
        <x:f t="shared" si="23"/>
        <x:v>0</x:v>
      </x:c>
      <x:c r="G132" s="95" t="s">
        <x:v>273</x:v>
      </x:c>
      <x:c r="H132" s="298" t="s">
        <x:v>148</x:v>
      </x:c>
      <x:c r="I132" s="19"/>
      <x:c r="J132" s="19"/>
      <x:c r="K132" s="20"/>
      <x:c r="L132" s="20">
        <x:f>+K132*0.1</x:f>
        <x:v>0</x:v>
      </x:c>
      <x:c r="M132" s="21">
        <x:f t="shared" ref="M132:M147" si="24">+K132+L132</x:f>
        <x:v>0</x:v>
      </x:c>
      <x:c r="N132" s="22"/>
      <x:c r="U132" s="1"/>
    </x:row>
    <x:row r="133" spans="1:21" s="2" customFormat="1" ht="20.100000000000001" customHeight="1">
      <x:c r="A133" s="299"/>
      <x:c r="B133" s="162" t="s">
        <x:v>1358</x:v>
      </x:c>
      <x:c r="C133" s="162" t="s">
        <x:v>1381</x:v>
      </x:c>
      <x:c r="D133" s="163">
        <x:v>860000</x:v>
      </x:c>
      <x:c r="E133" s="163">
        <x:f>+D133*0.1</x:f>
        <x:v>86000</x:v>
      </x:c>
      <x:c r="F133" s="193">
        <x:f t="shared" si="23"/>
        <x:v>946000</x:v>
      </x:c>
      <x:c r="G133" s="180" t="s">
        <x:v>258</x:v>
      </x:c>
      <x:c r="H133" s="299"/>
      <x:c r="I133" s="3"/>
      <x:c r="J133" s="3"/>
      <x:c r="K133" s="4"/>
      <x:c r="L133" s="4">
        <x:f>K133*0.1</x:f>
        <x:v>0</x:v>
      </x:c>
      <x:c r="M133" s="5">
        <x:f t="shared" si="24"/>
        <x:v>0</x:v>
      </x:c>
      <x:c r="N133" s="6"/>
      <x:c r="U133" s="1"/>
    </x:row>
    <x:row r="134" spans="1:21" s="2" customFormat="1" ht="20.100000000000001" customHeight="1">
      <x:c r="A134" s="299"/>
      <x:c r="B134" s="3" t="s">
        <x:v>1362</x:v>
      </x:c>
      <x:c r="C134" s="3" t="s">
        <x:v>369</x:v>
      </x:c>
      <x:c r="D134" s="4">
        <x:v>6046185</x:v>
      </x:c>
      <x:c r="E134" s="4">
        <x:f>+INT(D134*0.1)</x:f>
        <x:v>604618</x:v>
      </x:c>
      <x:c r="F134" s="194">
        <x:f t="shared" si="23"/>
        <x:v>6650803</x:v>
      </x:c>
      <x:c r="G134" s="180" t="s">
        <x:v>258</x:v>
      </x:c>
      <x:c r="H134" s="299"/>
      <x:c r="I134" s="3"/>
      <x:c r="J134" s="3"/>
      <x:c r="K134" s="4"/>
      <x:c r="L134" s="4">
        <x:f>+K134*0.1</x:f>
        <x:v>0</x:v>
      </x:c>
      <x:c r="M134" s="5">
        <x:f t="shared" si="24"/>
        <x:v>0</x:v>
      </x:c>
      <x:c r="N134" s="6"/>
      <x:c r="U134" s="1"/>
    </x:row>
    <x:row r="135" spans="1:21" s="2" customFormat="1" ht="20.100000000000001" customHeight="1">
      <x:c r="A135" s="299"/>
      <x:c r="B135" s="3" t="s">
        <x:v>1363</x:v>
      </x:c>
      <x:c r="C135" s="3" t="s">
        <x:v>1379</x:v>
      </x:c>
      <x:c r="D135" s="4">
        <x:v>2000000</x:v>
      </x:c>
      <x:c r="E135" s="4">
        <x:f>+D135*0.1</x:f>
        <x:v>200000</x:v>
      </x:c>
      <x:c r="F135" s="194">
        <x:f t="shared" si="23"/>
        <x:v>2200000</x:v>
      </x:c>
      <x:c r="G135" s="180" t="s">
        <x:v>258</x:v>
      </x:c>
      <x:c r="H135" s="299"/>
      <x:c r="I135" s="3"/>
      <x:c r="J135" s="3"/>
      <x:c r="K135" s="4"/>
      <x:c r="L135" s="4">
        <x:f>+K135*0.1</x:f>
        <x:v>0</x:v>
      </x:c>
      <x:c r="M135" s="5">
        <x:f t="shared" si="24"/>
        <x:v>0</x:v>
      </x:c>
      <x:c r="N135" s="6"/>
      <x:c r="U135" s="1"/>
    </x:row>
    <x:row r="136" spans="1:21" s="2" customFormat="1" ht="20.100000000000001" customHeight="1">
      <x:c r="A136" s="299"/>
      <x:c r="B136" s="3" t="s">
        <x:v>1372</x:v>
      </x:c>
      <x:c r="C136" s="3" t="s">
        <x:v>1405</x:v>
      </x:c>
      <x:c r="D136" s="4">
        <x:v>32250054</x:v>
      </x:c>
      <x:c r="E136" s="4">
        <x:f>+INT(D136*0.1)</x:f>
        <x:v>3225005</x:v>
      </x:c>
      <x:c r="F136" s="194">
        <x:f t="shared" si="23"/>
        <x:v>35475059</x:v>
      </x:c>
      <x:c r="G136" s="180" t="s">
        <x:v>258</x:v>
      </x:c>
      <x:c r="H136" s="299"/>
      <x:c r="I136" s="3"/>
      <x:c r="J136" s="3"/>
      <x:c r="K136" s="4"/>
      <x:c r="L136" s="4">
        <x:f>+K136*0.1</x:f>
        <x:v>0</x:v>
      </x:c>
      <x:c r="M136" s="5">
        <x:f t="shared" si="24"/>
        <x:v>0</x:v>
      </x:c>
      <x:c r="N136" s="6"/>
      <x:c r="U136" s="1"/>
    </x:row>
    <x:row r="137" spans="1:21" s="2" customFormat="1" ht="20.100000000000001" customHeight="1">
      <x:c r="A137" s="299"/>
      <x:c r="B137" s="3" t="s">
        <x:v>1380</x:v>
      </x:c>
      <x:c r="C137" s="3" t="s">
        <x:v>1377</x:v>
      </x:c>
      <x:c r="D137" s="4">
        <x:v>52853761</x:v>
      </x:c>
      <x:c r="E137" s="4">
        <x:f>+INT(D137*0.1)</x:f>
        <x:v>5285376</x:v>
      </x:c>
      <x:c r="F137" s="194">
        <x:f>+D137+E137</x:f>
        <x:v>58139137</x:v>
      </x:c>
      <x:c r="G137" s="180" t="s">
        <x:v>258</x:v>
      </x:c>
      <x:c r="H137" s="299"/>
      <x:c r="I137" s="3"/>
      <x:c r="J137" s="3"/>
      <x:c r="K137" s="4"/>
      <x:c r="L137" s="4">
        <x:f t="shared" ref="L137:L147" si="25">+K137*0.1</x:f>
        <x:v>0</x:v>
      </x:c>
      <x:c r="M137" s="5">
        <x:f t="shared" si="24"/>
        <x:v>0</x:v>
      </x:c>
      <x:c r="N137" s="6"/>
      <x:c r="U137" s="1"/>
    </x:row>
    <x:row r="138" spans="1:21" s="2" customFormat="1" ht="20.100000000000001" customHeight="1">
      <x:c r="A138" s="299"/>
      <x:c r="B138" s="3" t="s">
        <x:v>938</x:v>
      </x:c>
      <x:c r="C138" s="3" t="s">
        <x:v>953</x:v>
      </x:c>
      <x:c r="D138" s="4">
        <x:v>2443000</x:v>
      </x:c>
      <x:c r="E138" s="4">
        <x:f t="shared" ref="E138:E146" si="26">+INT(D138*0.1)</x:f>
        <x:v>244300</x:v>
      </x:c>
      <x:c r="F138" s="194">
        <x:f t="shared" si="23"/>
        <x:v>2687300</x:v>
      </x:c>
      <x:c r="G138" s="6" t="s">
        <x:v>273</x:v>
      </x:c>
      <x:c r="H138" s="299"/>
      <x:c r="I138" s="3"/>
      <x:c r="J138" s="3"/>
      <x:c r="K138" s="4"/>
      <x:c r="L138" s="4">
        <x:f t="shared" si="25"/>
        <x:v>0</x:v>
      </x:c>
      <x:c r="M138" s="5">
        <x:f t="shared" si="24"/>
        <x:v>0</x:v>
      </x:c>
      <x:c r="N138" s="6"/>
      <x:c r="U138" s="1"/>
    </x:row>
    <x:row r="139" spans="1:21" s="2" customFormat="1" ht="20.100000000000001" customHeight="1">
      <x:c r="A139" s="299"/>
      <x:c r="B139" s="3" t="s">
        <x:v>1418</x:v>
      </x:c>
      <x:c r="C139" s="3" t="s">
        <x:v>1405</x:v>
      </x:c>
      <x:c r="D139" s="4">
        <x:v>21660000</x:v>
      </x:c>
      <x:c r="E139" s="4">
        <x:f t="shared" si="26"/>
        <x:v>2166000</x:v>
      </x:c>
      <x:c r="F139" s="194">
        <x:f t="shared" si="23"/>
        <x:v>23826000</x:v>
      </x:c>
      <x:c r="G139" s="180" t="s">
        <x:v>258</x:v>
      </x:c>
      <x:c r="H139" s="299"/>
      <x:c r="I139" s="3"/>
      <x:c r="J139" s="3"/>
      <x:c r="K139" s="4"/>
      <x:c r="L139" s="4">
        <x:f t="shared" si="25"/>
        <x:v>0</x:v>
      </x:c>
      <x:c r="M139" s="5">
        <x:f t="shared" si="24"/>
        <x:v>0</x:v>
      </x:c>
      <x:c r="N139" s="6"/>
      <x:c r="U139" s="1"/>
    </x:row>
    <x:row r="140" spans="1:21" s="2" customFormat="1" ht="20.100000000000001" customHeight="1">
      <x:c r="A140" s="299"/>
      <x:c r="B140" s="3" t="s">
        <x:v>1406</x:v>
      </x:c>
      <x:c r="C140" s="3" t="s">
        <x:v>254</x:v>
      </x:c>
      <x:c r="D140" s="4">
        <x:v>2360000</x:v>
      </x:c>
      <x:c r="E140" s="4">
        <x:f t="shared" si="26"/>
        <x:v>236000</x:v>
      </x:c>
      <x:c r="F140" s="194">
        <x:f t="shared" si="23"/>
        <x:v>2596000</x:v>
      </x:c>
      <x:c r="G140" s="180" t="s">
        <x:v>258</x:v>
      </x:c>
      <x:c r="H140" s="299"/>
      <x:c r="I140" s="3"/>
      <x:c r="J140" s="3"/>
      <x:c r="K140" s="4"/>
      <x:c r="L140" s="4"/>
      <x:c r="M140" s="5"/>
      <x:c r="N140" s="6"/>
      <x:c r="U140" s="1"/>
    </x:row>
    <x:row r="141" spans="1:21" s="2" customFormat="1" ht="20.100000000000001" customHeight="1">
      <x:c r="A141" s="299"/>
      <x:c r="B141" s="3" t="s">
        <x:v>276</x:v>
      </x:c>
      <x:c r="C141" s="3" t="s">
        <x:v>1419</x:v>
      </x:c>
      <x:c r="D141" s="4">
        <x:v>50000000</x:v>
      </x:c>
      <x:c r="E141" s="4">
        <x:f t="shared" si="26"/>
        <x:v>5000000</x:v>
      </x:c>
      <x:c r="F141" s="194">
        <x:f t="shared" si="23"/>
        <x:v>55000000</x:v>
      </x:c>
      <x:c r="G141" s="180" t="s">
        <x:v>258</x:v>
      </x:c>
      <x:c r="H141" s="299"/>
      <x:c r="I141" s="3"/>
      <x:c r="J141" s="3"/>
      <x:c r="K141" s="4"/>
      <x:c r="L141" s="4">
        <x:f t="shared" si="25"/>
        <x:v>0</x:v>
      </x:c>
      <x:c r="M141" s="5">
        <x:f t="shared" si="24"/>
        <x:v>0</x:v>
      </x:c>
      <x:c r="N141" s="6"/>
      <x:c r="U141" s="1"/>
    </x:row>
    <x:row r="142" spans="1:21" s="2" customFormat="1" ht="20.100000000000001" customHeight="1">
      <x:c r="A142" s="299"/>
      <x:c r="B142" s="3"/>
      <x:c r="C142" s="3"/>
      <x:c r="D142" s="4"/>
      <x:c r="E142" s="4">
        <x:f t="shared" si="26"/>
        <x:v>0</x:v>
      </x:c>
      <x:c r="F142" s="194">
        <x:f t="shared" si="23"/>
        <x:v>0</x:v>
      </x:c>
      <x:c r="G142" s="6"/>
      <x:c r="H142" s="299"/>
      <x:c r="I142" s="3"/>
      <x:c r="J142" s="3"/>
      <x:c r="K142" s="4"/>
      <x:c r="L142" s="4">
        <x:f t="shared" si="25"/>
        <x:v>0</x:v>
      </x:c>
      <x:c r="M142" s="5">
        <x:f t="shared" si="24"/>
        <x:v>0</x:v>
      </x:c>
      <x:c r="N142" s="6"/>
      <x:c r="U142" s="1"/>
    </x:row>
    <x:row r="143" spans="1:21" s="2" customFormat="1" ht="20.100000000000001" customHeight="1">
      <x:c r="A143" s="299"/>
      <x:c r="B143" s="3"/>
      <x:c r="C143" s="3"/>
      <x:c r="D143" s="4"/>
      <x:c r="E143" s="4">
        <x:f t="shared" si="26"/>
        <x:v>0</x:v>
      </x:c>
      <x:c r="F143" s="5">
        <x:f t="shared" si="23"/>
        <x:v>0</x:v>
      </x:c>
      <x:c r="G143" s="6"/>
      <x:c r="H143" s="299"/>
      <x:c r="I143" s="3"/>
      <x:c r="J143" s="3"/>
      <x:c r="K143" s="4"/>
      <x:c r="L143" s="4">
        <x:f t="shared" si="25"/>
        <x:v>0</x:v>
      </x:c>
      <x:c r="M143" s="5">
        <x:f t="shared" si="24"/>
        <x:v>0</x:v>
      </x:c>
      <x:c r="N143" s="6"/>
      <x:c r="U143" s="1"/>
    </x:row>
    <x:row r="144" spans="1:21" s="2" customFormat="1" ht="20.100000000000001" customHeight="1">
      <x:c r="A144" s="299"/>
      <x:c r="B144" s="3"/>
      <x:c r="C144" s="3"/>
      <x:c r="D144" s="4"/>
      <x:c r="E144" s="4">
        <x:f t="shared" si="26"/>
        <x:v>0</x:v>
      </x:c>
      <x:c r="F144" s="5">
        <x:f t="shared" si="23"/>
        <x:v>0</x:v>
      </x:c>
      <x:c r="G144" s="6"/>
      <x:c r="H144" s="299"/>
      <x:c r="I144" s="3"/>
      <x:c r="J144" s="3"/>
      <x:c r="K144" s="4"/>
      <x:c r="L144" s="4">
        <x:f t="shared" si="25"/>
        <x:v>0</x:v>
      </x:c>
      <x:c r="M144" s="5">
        <x:f t="shared" si="24"/>
        <x:v>0</x:v>
      </x:c>
      <x:c r="N144" s="6"/>
      <x:c r="U144" s="1"/>
    </x:row>
    <x:row r="145" spans="1:21" s="2" customFormat="1" ht="20.100000000000001" customHeight="1">
      <x:c r="A145" s="299"/>
      <x:c r="B145" s="3"/>
      <x:c r="C145" s="3"/>
      <x:c r="D145" s="4"/>
      <x:c r="E145" s="4">
        <x:f t="shared" si="26"/>
        <x:v>0</x:v>
      </x:c>
      <x:c r="F145" s="5">
        <x:f t="shared" si="23"/>
        <x:v>0</x:v>
      </x:c>
      <x:c r="G145" s="6"/>
      <x:c r="H145" s="299"/>
      <x:c r="I145" s="3"/>
      <x:c r="J145" s="3"/>
      <x:c r="K145" s="4"/>
      <x:c r="L145" s="4">
        <x:f t="shared" si="25"/>
        <x:v>0</x:v>
      </x:c>
      <x:c r="M145" s="5">
        <x:f t="shared" si="24"/>
        <x:v>0</x:v>
      </x:c>
      <x:c r="N145" s="6"/>
      <x:c r="U145" s="1"/>
    </x:row>
    <x:row r="146" spans="1:21" s="2" customFormat="1" ht="20.100000000000001" customHeight="1">
      <x:c r="A146" s="299"/>
      <x:c r="B146" s="3"/>
      <x:c r="C146" s="3"/>
      <x:c r="D146" s="4"/>
      <x:c r="E146" s="4">
        <x:f t="shared" si="26"/>
        <x:v>0</x:v>
      </x:c>
      <x:c r="F146" s="5">
        <x:f t="shared" si="23"/>
        <x:v>0</x:v>
      </x:c>
      <x:c r="G146" s="6"/>
      <x:c r="H146" s="299"/>
      <x:c r="I146" s="3"/>
      <x:c r="J146" s="3"/>
      <x:c r="K146" s="4"/>
      <x:c r="L146" s="4">
        <x:f t="shared" si="25"/>
        <x:v>0</x:v>
      </x:c>
      <x:c r="M146" s="5">
        <x:f t="shared" si="24"/>
        <x:v>0</x:v>
      </x:c>
      <x:c r="N146" s="6"/>
      <x:c r="U146" s="1"/>
    </x:row>
    <x:row r="147" spans="1:21" s="2" customFormat="1" ht="20.100000000000001" customHeight="1">
      <x:c r="A147" s="300"/>
      <x:c r="B147" s="3"/>
      <x:c r="C147" s="3"/>
      <x:c r="D147" s="4"/>
      <x:c r="E147" s="4"/>
      <x:c r="F147" s="5"/>
      <x:c r="G147" s="6"/>
      <x:c r="H147" s="300"/>
      <x:c r="I147" s="3"/>
      <x:c r="J147" s="3"/>
      <x:c r="K147" s="4"/>
      <x:c r="L147" s="4">
        <x:f t="shared" si="25"/>
        <x:v>0</x:v>
      </x:c>
      <x:c r="M147" s="5">
        <x:f t="shared" si="24"/>
        <x:v>0</x:v>
      </x:c>
      <x:c r="N147" s="6"/>
      <x:c r="U147" s="1"/>
    </x:row>
    <x:row r="148" spans="1:21" s="2" customFormat="1" ht="20.100000000000001" customHeight="1">
      <x:c r="A148" s="7" t="s">
        <x:v>155</x:v>
      </x:c>
      <x:c r="B148" s="8"/>
      <x:c r="C148" s="8"/>
      <x:c r="D148" s="9">
        <x:f>SUM(D132:D147)</x:f>
        <x:v>170473000</x:v>
      </x:c>
      <x:c r="E148" s="9">
        <x:f>SUM(E132:E147)</x:f>
        <x:v>17047299</x:v>
      </x:c>
      <x:c r="F148" s="10">
        <x:f>SUM(F132:F147)</x:f>
        <x:v>187520299</x:v>
      </x:c>
      <x:c r="G148" s="11"/>
      <x:c r="H148" s="7"/>
      <x:c r="I148" s="8"/>
      <x:c r="J148" s="8"/>
      <x:c r="K148" s="9">
        <x:f>SUM(K132:K147)</x:f>
        <x:v>0</x:v>
      </x:c>
      <x:c r="L148" s="9">
        <x:f>SUM(L132:L147)</x:f>
        <x:v>0</x:v>
      </x:c>
      <x:c r="M148" s="10">
        <x:f>SUM(M132:M147)</x:f>
        <x:v>0</x:v>
      </x:c>
      <x:c r="N148" s="11"/>
      <x:c r="U148" s="1"/>
    </x:row>
    <x:row r="149" spans="1:21" s="2" customFormat="1" ht="20.100000000000001" customHeight="1">
      <x:c r="A149" s="301" t="s">
        <x:v>153</x:v>
      </x:c>
      <x:c r="B149" s="3" t="s">
        <x:v>1241</x:v>
      </x:c>
      <x:c r="C149" s="3" t="s">
        <x:v>1376</x:v>
      </x:c>
      <x:c r="D149" s="44">
        <x:v>16580000</x:v>
      </x:c>
      <x:c r="E149" s="44"/>
      <x:c r="F149" s="45">
        <x:f>+D149+E149</x:f>
        <x:v>16580000</x:v>
      </x:c>
      <x:c r="G149" s="180" t="s">
        <x:v>258</x:v>
      </x:c>
      <x:c r="H149" s="301" t="s">
        <x:v>153</x:v>
      </x:c>
      <x:c r="I149" s="3"/>
      <x:c r="J149" s="3"/>
      <x:c r="K149" s="4"/>
      <x:c r="L149" s="4">
        <x:f>+K149*0.1</x:f>
        <x:v>0</x:v>
      </x:c>
      <x:c r="M149" s="5">
        <x:f>+K149+L149</x:f>
        <x:v>0</x:v>
      </x:c>
      <x:c r="N149" s="6"/>
      <x:c r="U149" s="1"/>
    </x:row>
    <x:row r="150" spans="1:21" s="2" customFormat="1" ht="20.100000000000001" customHeight="1">
      <x:c r="A150" s="299"/>
      <x:c r="B150" s="3"/>
      <x:c r="C150" s="3"/>
      <x:c r="D150" s="44"/>
      <x:c r="E150" s="44">
        <x:f>+D150*0.1</x:f>
        <x:v>0</x:v>
      </x:c>
      <x:c r="F150" s="45">
        <x:f>+D150+E150</x:f>
        <x:v>0</x:v>
      </x:c>
      <x:c r="G150" s="37"/>
      <x:c r="H150" s="299"/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  <x:c r="U150" s="1"/>
    </x:row>
    <x:row r="151" spans="1:21" s="2" customFormat="1" ht="20.100000000000001" customHeight="1">
      <x:c r="A151" s="299"/>
      <x:c r="B151" s="3"/>
      <x:c r="C151" s="3"/>
      <x:c r="D151" s="4"/>
      <x:c r="E151" s="4">
        <x:f>+D151*0.1</x:f>
        <x:v>0</x:v>
      </x:c>
      <x:c r="F151" s="5">
        <x:f>+D151+E151</x:f>
        <x:v>0</x:v>
      </x:c>
      <x:c r="G151" s="6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  <x:c r="U151" s="1"/>
    </x:row>
    <x:row r="152" spans="1:21" s="2" customFormat="1" ht="20.100000000000001" customHeight="1">
      <x:c r="A152" s="300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300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  <x:c r="U152" s="1"/>
    </x:row>
    <x:row r="153" spans="1:21" s="2" customFormat="1" ht="20.100000000000001" customHeight="1">
      <x:c r="A153" s="7" t="s">
        <x:v>155</x:v>
      </x:c>
      <x:c r="B153" s="8"/>
      <x:c r="C153" s="8"/>
      <x:c r="D153" s="9">
        <x:f>SUM(D149:D152)</x:f>
        <x:v>16580000</x:v>
      </x:c>
      <x:c r="E153" s="9">
        <x:f>SUM(E149:E152)</x:f>
        <x:v>0</x:v>
      </x:c>
      <x:c r="F153" s="10">
        <x:f>SUM(F149:F152)</x:f>
        <x:v>16580000</x:v>
      </x:c>
      <x:c r="G153" s="11"/>
      <x:c r="H153" s="7"/>
      <x:c r="I153" s="8"/>
      <x:c r="J153" s="8"/>
      <x:c r="K153" s="9">
        <x:f>SUM(K149:K152)</x:f>
        <x:v>0</x:v>
      </x:c>
      <x:c r="L153" s="9">
        <x:f>SUM(L149:L152)</x:f>
        <x:v>0</x:v>
      </x:c>
      <x:c r="M153" s="10">
        <x:f>SUM(M149:M152)</x:f>
        <x:v>0</x:v>
      </x:c>
      <x:c r="N153" s="11"/>
      <x:c r="U153" s="1"/>
    </x:row>
    <x:row r="154" spans="1:21" s="2" customFormat="1" ht="20.100000000000001" customHeight="1">
      <x:c r="A154" s="301" t="s">
        <x:v>187</x:v>
      </x:c>
      <x:c r="B154" s="3" t="s">
        <x:v>484</x:v>
      </x:c>
      <x:c r="C154" s="3" t="s">
        <x:v>1373</x:v>
      </x:c>
      <x:c r="D154" s="4">
        <x:v>5300000</x:v>
      </x:c>
      <x:c r="E154" s="4">
        <x:f>+D154*0.1</x:f>
        <x:v>530000</x:v>
      </x:c>
      <x:c r="F154" s="5">
        <x:f>+D154+E154</x:f>
        <x:v>5830000</x:v>
      </x:c>
      <x:c r="G154" s="180" t="s">
        <x:v>258</x:v>
      </x:c>
      <x:c r="H154" s="301" t="s">
        <x:v>187</x:v>
      </x:c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  <x:c r="U154" s="1"/>
    </x:row>
    <x:row r="155" spans="1:21" s="2" customFormat="1" ht="20.100000000000001" customHeight="1">
      <x:c r="A155" s="299"/>
      <x:c r="B155" s="3" t="s">
        <x:v>482</x:v>
      </x:c>
      <x:c r="C155" s="3" t="s">
        <x:v>1373</x:v>
      </x:c>
      <x:c r="D155" s="4"/>
      <x:c r="E155" s="4">
        <x:f>+D155*0.1</x:f>
        <x:v>0</x:v>
      </x:c>
      <x:c r="F155" s="5">
        <x:f>+D155+E155</x:f>
        <x:v>0</x:v>
      </x:c>
      <x:c r="G155" s="180" t="s">
        <x:v>258</x:v>
      </x:c>
      <x:c r="H155" s="299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  <x:c r="U155" s="1"/>
    </x:row>
    <x:row r="156" spans="1:21" s="2" customFormat="1" ht="20.100000000000001" customHeight="1">
      <x:c r="A156" s="299"/>
      <x:c r="B156" s="3" t="s">
        <x:v>480</x:v>
      </x:c>
      <x:c r="C156" s="3" t="s">
        <x:v>1373</x:v>
      </x:c>
      <x:c r="D156" s="4"/>
      <x:c r="E156" s="4">
        <x:f>+D156*0.1</x:f>
        <x:v>0</x:v>
      </x:c>
      <x:c r="F156" s="5">
        <x:f>+D156+E156</x:f>
        <x:v>0</x:v>
      </x:c>
      <x:c r="G156" s="180" t="s">
        <x:v>258</x:v>
      </x:c>
      <x:c r="H156" s="299"/>
      <x:c r="I156" s="3"/>
      <x:c r="J156" s="3"/>
      <x:c r="K156" s="4"/>
      <x:c r="L156" s="4">
        <x:f>+K156*0.1</x:f>
        <x:v>0</x:v>
      </x:c>
      <x:c r="M156" s="5">
        <x:f>+K156+L156</x:f>
        <x:v>0</x:v>
      </x:c>
      <x:c r="N156" s="6"/>
      <x:c r="U156" s="1"/>
    </x:row>
    <x:row r="157" spans="1:21" s="2" customFormat="1" ht="20.100000000000001" customHeight="1">
      <x:c r="A157" s="300"/>
      <x:c r="B157" s="3"/>
      <x:c r="C157" s="3"/>
      <x:c r="D157" s="4"/>
      <x:c r="E157" s="4">
        <x:f>+D157*0.1</x:f>
        <x:v>0</x:v>
      </x:c>
      <x:c r="F157" s="5">
        <x:f>+D157+E157</x:f>
        <x:v>0</x:v>
      </x:c>
      <x:c r="G157" s="6"/>
      <x:c r="H157" s="300"/>
      <x:c r="I157" s="3"/>
      <x:c r="J157" s="3"/>
      <x:c r="K157" s="4"/>
      <x:c r="L157" s="4">
        <x:f>+K157*0.1</x:f>
        <x:v>0</x:v>
      </x:c>
      <x:c r="M157" s="5">
        <x:f>+K157+L157</x:f>
        <x:v>0</x:v>
      </x:c>
      <x:c r="N157" s="6"/>
      <x:c r="U157" s="1"/>
    </x:row>
    <x:row r="158" spans="1:21" s="2" customFormat="1" ht="20.100000000000001" customHeight="1">
      <x:c r="A158" s="7" t="s">
        <x:v>155</x:v>
      </x:c>
      <x:c r="B158" s="8"/>
      <x:c r="C158" s="8"/>
      <x:c r="D158" s="9">
        <x:f>SUM(D154:D157)</x:f>
        <x:v>5300000</x:v>
      </x:c>
      <x:c r="E158" s="9">
        <x:f>SUM(E154:E157)</x:f>
        <x:v>530000</x:v>
      </x:c>
      <x:c r="F158" s="10">
        <x:f>SUM(F154:F157)</x:f>
        <x:v>5830000</x:v>
      </x:c>
      <x:c r="G158" s="11"/>
      <x:c r="H158" s="7"/>
      <x:c r="I158" s="8"/>
      <x:c r="J158" s="8"/>
      <x:c r="K158" s="9">
        <x:f>SUM(K154:K157)</x:f>
        <x:v>0</x:v>
      </x:c>
      <x:c r="L158" s="9">
        <x:f>SUM(L154:L157)</x:f>
        <x:v>0</x:v>
      </x:c>
      <x:c r="M158" s="10">
        <x:f>SUM(M154:M157)</x:f>
        <x:v>0</x:v>
      </x:c>
      <x:c r="N158" s="11"/>
      <x:c r="U158" s="1"/>
    </x:row>
    <x:row r="159" spans="1:21" s="2" customFormat="1" ht="20.100000000000001" customHeight="1">
      <x:c r="A159" s="301" t="s">
        <x:v>149</x:v>
      </x:c>
      <x:c r="B159" s="3" t="s">
        <x:v>1404</x:v>
      </x:c>
      <x:c r="C159" s="3" t="s">
        <x:v>887</x:v>
      </x:c>
      <x:c r="D159" s="4">
        <x:v>6160</x:v>
      </x:c>
      <x:c r="E159" s="4"/>
      <x:c r="F159" s="5">
        <x:f>+D159+E159</x:f>
        <x:v>6160</x:v>
      </x:c>
      <x:c r="G159" s="6" t="s">
        <x:v>489</x:v>
      </x:c>
      <x:c r="H159" s="301" t="s">
        <x:v>149</x:v>
      </x:c>
      <x:c r="I159" s="3"/>
      <x:c r="J159" s="3"/>
      <x:c r="K159" s="4"/>
      <x:c r="L159" s="4"/>
      <x:c r="M159" s="5">
        <x:f t="shared" ref="M159:M166" si="27">+K159+L159</x:f>
        <x:v>0</x:v>
      </x:c>
      <x:c r="N159" s="6"/>
      <x:c r="U159" s="1"/>
    </x:row>
    <x:row r="160" spans="1:21" s="2" customFormat="1" ht="20.100000000000001" customHeight="1">
      <x:c r="A160" s="299"/>
      <x:c r="B160" s="3"/>
      <x:c r="C160" s="3"/>
      <x:c r="D160" s="4"/>
      <x:c r="E160" s="4"/>
      <x:c r="F160" s="5">
        <x:f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 t="shared" si="27"/>
        <x:v>0</x:v>
      </x:c>
      <x:c r="N160" s="6"/>
      <x:c r="U160" s="1"/>
    </x:row>
    <x:row r="161" spans="1:21" s="2" customFormat="1" ht="20.100000000000001" customHeight="1">
      <x:c r="A161" s="299"/>
      <x:c r="B161" s="3"/>
      <x:c r="C161" s="3"/>
      <x:c r="D161" s="4"/>
      <x:c r="E161" s="4"/>
      <x:c r="F161" s="5">
        <x:f>+D161+E161</x:f>
        <x:v>0</x:v>
      </x:c>
      <x:c r="G161" s="6"/>
      <x:c r="H161" s="299"/>
      <x:c r="I161" s="3"/>
      <x:c r="J161" s="3"/>
      <x:c r="K161" s="4"/>
      <x:c r="L161" s="4">
        <x:f>+K161*0.1</x:f>
        <x:v>0</x:v>
      </x:c>
      <x:c r="M161" s="5">
        <x:f t="shared" si="27"/>
        <x:v>0</x:v>
      </x:c>
      <x:c r="N161" s="6"/>
      <x:c r="U161" s="1"/>
    </x:row>
    <x:row r="162" spans="1:21" s="2" customFormat="1" ht="20.100000000000001" customHeight="1">
      <x:c r="A162" s="299"/>
      <x:c r="B162" s="3"/>
      <x:c r="C162" s="3"/>
      <x:c r="D162" s="4"/>
      <x:c r="E162" s="4"/>
      <x:c r="F162" s="5">
        <x:f t="shared" ref="F162:F168" si="28">+D162+E162</x:f>
        <x:v>0</x:v>
      </x:c>
      <x:c r="G162" s="6"/>
      <x:c r="H162" s="299"/>
      <x:c r="I162" s="3"/>
      <x:c r="J162" s="3"/>
      <x:c r="K162" s="4"/>
      <x:c r="L162" s="4">
        <x:f>+K162*0.1</x:f>
        <x:v>0</x:v>
      </x:c>
      <x:c r="M162" s="5">
        <x:f t="shared" si="27"/>
        <x:v>0</x:v>
      </x:c>
      <x:c r="N162" s="6"/>
      <x:c r="U162" s="1"/>
    </x:row>
    <x:row r="163" spans="1:21" s="2" customFormat="1" ht="20.100000000000001" customHeight="1">
      <x:c r="A163" s="299"/>
      <x:c r="B163" s="3"/>
      <x:c r="C163" s="3"/>
      <x:c r="D163" s="4"/>
      <x:c r="E163" s="4"/>
      <x:c r="F163" s="5">
        <x:f t="shared" si="28"/>
        <x:v>0</x:v>
      </x:c>
      <x:c r="G163" s="6"/>
      <x:c r="H163" s="299"/>
      <x:c r="I163" s="3"/>
      <x:c r="J163" s="3"/>
      <x:c r="K163" s="4"/>
      <x:c r="L163" s="4">
        <x:f t="shared" ref="L163:L168" si="29">+K163*0.1</x:f>
        <x:v>0</x:v>
      </x:c>
      <x:c r="M163" s="5">
        <x:f t="shared" si="27"/>
        <x:v>0</x:v>
      </x:c>
      <x:c r="N163" s="6"/>
      <x:c r="U163" s="1"/>
    </x:row>
    <x:row r="164" spans="1:21" s="2" customFormat="1" ht="20.100000000000001" customHeight="1">
      <x:c r="A164" s="299"/>
      <x:c r="B164" s="3"/>
      <x:c r="C164" s="3"/>
      <x:c r="D164" s="4"/>
      <x:c r="E164" s="4"/>
      <x:c r="F164" s="5">
        <x:f t="shared" si="28"/>
        <x:v>0</x:v>
      </x:c>
      <x:c r="G164" s="6"/>
      <x:c r="H164" s="299"/>
      <x:c r="I164" s="3"/>
      <x:c r="J164" s="3"/>
      <x:c r="K164" s="4"/>
      <x:c r="L164" s="4">
        <x:f t="shared" si="29"/>
        <x:v>0</x:v>
      </x:c>
      <x:c r="M164" s="5">
        <x:f t="shared" si="27"/>
        <x:v>0</x:v>
      </x:c>
      <x:c r="N164" s="6"/>
      <x:c r="U164" s="1"/>
    </x:row>
    <x:row r="165" spans="1:21" s="2" customFormat="1" ht="20.100000000000001" customHeight="1">
      <x:c r="A165" s="299"/>
      <x:c r="B165" s="3"/>
      <x:c r="C165" s="3"/>
      <x:c r="D165" s="4"/>
      <x:c r="E165" s="4"/>
      <x:c r="F165" s="5">
        <x:f t="shared" si="28"/>
        <x:v>0</x:v>
      </x:c>
      <x:c r="G165" s="6"/>
      <x:c r="H165" s="299"/>
      <x:c r="I165" s="3"/>
      <x:c r="J165" s="3"/>
      <x:c r="K165" s="4"/>
      <x:c r="L165" s="4">
        <x:f t="shared" si="29"/>
        <x:v>0</x:v>
      </x:c>
      <x:c r="M165" s="5">
        <x:f t="shared" si="27"/>
        <x:v>0</x:v>
      </x:c>
      <x:c r="N165" s="6"/>
      <x:c r="U165" s="1"/>
    </x:row>
    <x:row r="166" spans="1:21" s="2" customFormat="1" ht="20.100000000000001" customHeight="1">
      <x:c r="A166" s="299"/>
      <x:c r="B166" s="3"/>
      <x:c r="C166" s="3"/>
      <x:c r="D166" s="4"/>
      <x:c r="E166" s="4"/>
      <x:c r="F166" s="5">
        <x:f t="shared" si="28"/>
        <x:v>0</x:v>
      </x:c>
      <x:c r="G166" s="6"/>
      <x:c r="H166" s="299"/>
      <x:c r="I166" s="3"/>
      <x:c r="J166" s="3"/>
      <x:c r="K166" s="4"/>
      <x:c r="L166" s="4">
        <x:f t="shared" si="29"/>
        <x:v>0</x:v>
      </x:c>
      <x:c r="M166" s="5">
        <x:f t="shared" si="27"/>
        <x:v>0</x:v>
      </x:c>
      <x:c r="N166" s="6"/>
      <x:c r="U166" s="1"/>
    </x:row>
    <x:row r="167" spans="1:21" s="2" customFormat="1" ht="20.100000000000001" customHeight="1">
      <x:c r="A167" s="299"/>
      <x:c r="B167" s="3"/>
      <x:c r="C167" s="3"/>
      <x:c r="D167" s="4"/>
      <x:c r="E167" s="4"/>
      <x:c r="F167" s="5">
        <x:f t="shared" si="28"/>
        <x:v>0</x:v>
      </x:c>
      <x:c r="G167" s="6"/>
      <x:c r="H167" s="299"/>
      <x:c r="I167" s="3"/>
      <x:c r="J167" s="3"/>
      <x:c r="K167" s="4"/>
      <x:c r="L167" s="4">
        <x:f t="shared" si="29"/>
        <x:v>0</x:v>
      </x:c>
      <x:c r="M167" s="5"/>
      <x:c r="N167" s="6"/>
      <x:c r="U167" s="1"/>
    </x:row>
    <x:row r="168" spans="1:21" s="2" customFormat="1" ht="20.100000000000001" customHeight="1">
      <x:c r="A168" s="300"/>
      <x:c r="B168" s="3"/>
      <x:c r="C168" s="3"/>
      <x:c r="D168" s="4"/>
      <x:c r="E168" s="4"/>
      <x:c r="F168" s="5">
        <x:f t="shared" si="28"/>
        <x:v>0</x:v>
      </x:c>
      <x:c r="G168" s="6"/>
      <x:c r="H168" s="300"/>
      <x:c r="I168" s="3"/>
      <x:c r="J168" s="3"/>
      <x:c r="K168" s="4"/>
      <x:c r="L168" s="4">
        <x:f t="shared" si="29"/>
        <x:v>0</x:v>
      </x:c>
      <x:c r="M168" s="5">
        <x:f>+K168+L168</x:f>
        <x:v>0</x:v>
      </x:c>
      <x:c r="N168" s="6"/>
      <x:c r="U168" s="1"/>
    </x:row>
    <x:row r="169" spans="1:21" s="2" customFormat="1" ht="20.100000000000001" customHeight="1">
      <x:c r="A169" s="7" t="s">
        <x:v>155</x:v>
      </x:c>
      <x:c r="B169" s="8"/>
      <x:c r="C169" s="8"/>
      <x:c r="D169" s="9">
        <x:f>SUM(D159:D168)</x:f>
        <x:v>6160</x:v>
      </x:c>
      <x:c r="E169" s="9">
        <x:f>SUM(E159:E168)</x:f>
        <x:v>0</x:v>
      </x:c>
      <x:c r="F169" s="10">
        <x:f>SUM(F159:F168)</x:f>
        <x:v>6160</x:v>
      </x:c>
      <x:c r="G169" s="11"/>
      <x:c r="H169" s="7"/>
      <x:c r="I169" s="8"/>
      <x:c r="J169" s="8"/>
      <x:c r="K169" s="9">
        <x:f>SUM(K159:K168)</x:f>
        <x:v>0</x:v>
      </x:c>
      <x:c r="L169" s="9">
        <x:f>SUM(L159:L168)</x:f>
        <x:v>0</x:v>
      </x:c>
      <x:c r="M169" s="10">
        <x:f>SUM(M159:M168)</x:f>
        <x:v>0</x:v>
      </x:c>
      <x:c r="N169" s="11"/>
      <x:c r="U169" s="1"/>
    </x:row>
    <x:row r="170" spans="1:21" s="2" customFormat="1" ht="20.100000000000001" customHeight="1">
      <x:c r="A170" s="12" t="s">
        <x:v>1690</x:v>
      </x:c>
      <x:c r="B170" s="13"/>
      <x:c r="C170" s="13"/>
      <x:c r="D170" s="14">
        <x:f>+D148+D153+D158+D169</x:f>
        <x:v>192359160</x:v>
      </x:c>
      <x:c r="E170" s="14">
        <x:f>+E148+E153+E158+E169</x:f>
        <x:v>17577299</x:v>
      </x:c>
      <x:c r="F170" s="15">
        <x:f>+F148+F153+F158+F169</x:f>
        <x:v>209936459</x:v>
      </x:c>
      <x:c r="G170" s="16"/>
      <x:c r="H170" s="12"/>
      <x:c r="I170" s="13"/>
      <x:c r="J170" s="13"/>
      <x:c r="K170" s="14">
        <x:f>+K148+K153+K158+K169</x:f>
        <x:v>0</x:v>
      </x:c>
      <x:c r="L170" s="14">
        <x:f>+L148+L153+L158+L169</x:f>
        <x:v>0</x:v>
      </x:c>
      <x:c r="M170" s="15">
        <x:f>+M148+M153+M158+M169</x:f>
        <x:v>0</x:v>
      </x:c>
      <x:c r="N170" s="16"/>
      <x:c r="U170" s="1"/>
    </x:row>
    <x:row r="171" spans="1:21" s="2" customFormat="1" ht="20.100000000000001" customHeight="1">
      <x:c r="A171" s="23" t="s">
        <x:v>35</x:v>
      </x:c>
      <x:c r="B171" s="24"/>
      <x:c r="C171" s="24"/>
      <x:c r="D171" s="25">
        <x:f>+D131-D170</x:f>
        <x:v>151583840</x:v>
      </x:c>
      <x:c r="E171" s="25">
        <x:f>+E131-E170</x:f>
        <x:v>16817001</x:v>
      </x:c>
      <x:c r="F171" s="26">
        <x:f>+F131-F170</x:f>
        <x:v>168400841</x:v>
      </x:c>
      <x:c r="G171" s="27"/>
      <x:c r="H171" s="23"/>
      <x:c r="I171" s="24"/>
      <x:c r="J171" s="24"/>
      <x:c r="K171" s="25">
        <x:f>+K131-K170</x:f>
        <x:v>0</x:v>
      </x:c>
      <x:c r="L171" s="25">
        <x:f>+L131-L170</x:f>
        <x:v>0</x:v>
      </x:c>
      <x:c r="M171" s="26">
        <x:f>+M131-M170</x:f>
        <x:v>0</x:v>
      </x:c>
      <x:c r="N171" s="27"/>
      <x:c r="U171" s="1"/>
    </x:row>
    <x:row r="174" spans="1:21" s="2" customFormat="1">
      <x:c r="A174" s="1" t="s">
        <x:v>148</x:v>
      </x:c>
      <x:c r="B174" s="1"/>
      <x:c r="C174" s="1"/>
      <x:c r="D174" s="2">
        <x:f>+D17+D62+D105+D148</x:f>
        <x:v>234461896</x:v>
      </x:c>
      <x:c r="E174" s="2">
        <x:f>+E17+E62+E105+E148</x:f>
        <x:v>23446188.600000001</x:v>
      </x:c>
      <x:c r="F174" s="2">
        <x:f>+F17+F62+F105+F148</x:f>
        <x:v>257908084.59999999</x:v>
      </x:c>
      <x:c r="H174" s="1"/>
      <x:c r="I174" s="1"/>
      <x:c r="J174" s="1"/>
      <x:c r="K174" s="2">
        <x:f>+K17+K62+K105+K148</x:f>
        <x:v>10200992</x:v>
      </x:c>
      <x:c r="L174" s="2">
        <x:f>+L17+L62+L105+L148</x:f>
        <x:v>1020099</x:v>
      </x:c>
      <x:c r="M174" s="2">
        <x:f>+M17+M62+M105+M148</x:f>
        <x:v>11221091</x:v>
      </x:c>
      <x:c r="U174" s="1"/>
    </x:row>
    <x:row r="175" spans="1:21" s="2" customFormat="1">
      <x:c r="A175" s="1" t="s">
        <x:v>153</x:v>
      </x:c>
      <x:c r="B175" s="1"/>
      <x:c r="C175" s="1"/>
      <x:c r="D175" s="2">
        <x:f>+D23+D67+D110+D153</x:f>
        <x:v>134165500</x:v>
      </x:c>
      <x:c r="E175" s="2">
        <x:f>+E23+E67+E110+E153</x:f>
        <x:v>1947550</x:v>
      </x:c>
      <x:c r="F175" s="2">
        <x:f>+F23+F67+F110+F153</x:f>
        <x:v>136113050</x:v>
      </x:c>
      <x:c r="H175" s="1"/>
      <x:c r="I175" s="1"/>
      <x:c r="J175" s="1"/>
      <x:c r="K175" s="2">
        <x:f>+K23+K67+K110+K153</x:f>
        <x:v>48625000</x:v>
      </x:c>
      <x:c r="L175" s="2">
        <x:f>+L23+L67+L110+L153</x:f>
        <x:v>1000000</x:v>
      </x:c>
      <x:c r="M175" s="2">
        <x:f>+M23+M67+M110+M153</x:f>
        <x:v>49625000</x:v>
      </x:c>
      <x:c r="U175" s="1"/>
    </x:row>
    <x:row r="176" spans="1:13" s="2" customFormat="1">
      <x:c r="A176" s="1" t="s">
        <x:v>187</x:v>
      </x:c>
      <x:c r="B176" s="1"/>
      <x:c r="C176" s="1"/>
      <x:c r="D176" s="2">
        <x:f>+D28+D72+D115+D158</x:f>
        <x:v>6725000</x:v>
      </x:c>
      <x:c r="E176" s="2">
        <x:f>+E28+E72+E115+E158</x:f>
        <x:v>672500</x:v>
      </x:c>
      <x:c r="F176" s="2">
        <x:f>+F28+F72+F115+F158</x:f>
        <x:v>7397500</x:v>
      </x:c>
      <x:c r="H176" s="1"/>
      <x:c r="I176" s="1"/>
      <x:c r="J176" s="1"/>
      <x:c r="K176" s="2">
        <x:f>+K28+K72+K115+K158</x:f>
        <x:v>1500000</x:v>
      </x:c>
      <x:c r="L176" s="2">
        <x:f>+L28+L72+L115+L158</x:f>
        <x:v>150000</x:v>
      </x:c>
      <x:c r="M176" s="2">
        <x:f>+M28+M72+M115+M158</x:f>
        <x:v>1650000</x:v>
      </x:c>
    </x:row>
    <x:row r="177" spans="1:13" s="2" customFormat="1">
      <x:c r="A177" s="1" t="s">
        <x:v>149</x:v>
      </x:c>
      <x:c r="B177" s="1"/>
      <x:c r="C177" s="1"/>
      <x:c r="D177" s="2">
        <x:f>+D40+D83+D126+D169</x:f>
        <x:v>9006671</x:v>
      </x:c>
      <x:c r="E177" s="2">
        <x:f>+E40+E83+E126+E169</x:f>
        <x:v>491965.59999999998</x:v>
      </x:c>
      <x:c r="F177" s="2">
        <x:f>+F40+F83+F126+F169</x:f>
        <x:v>9498636.5999999996</x:v>
      </x:c>
      <x:c r="H177" s="1"/>
      <x:c r="I177" s="1"/>
      <x:c r="J177" s="1"/>
      <x:c r="K177" s="2">
        <x:f>+K40+K83+K126+K169</x:f>
        <x:v>7160413</x:v>
      </x:c>
      <x:c r="L177" s="2">
        <x:f>+L40+L83+L126+L169</x:f>
        <x:v>401130</x:v>
      </x:c>
      <x:c r="M177" s="2">
        <x:f>+M40+M83+M126+M169</x:f>
        <x:v>7561543</x:v>
      </x:c>
    </x:row>
    <x:row r="178" spans="1:13" s="2" customFormat="1">
      <x:c r="A178" s="1" t="s">
        <x:v>202</x:v>
      </x:c>
      <x:c r="B178" s="1"/>
      <x:c r="C178" s="1"/>
      <x:c r="D178" s="2">
        <x:f>SUM(D174:D177)</x:f>
        <x:v>384359067</x:v>
      </x:c>
      <x:c r="E178" s="2">
        <x:f>SUM(E174:E177)</x:f>
        <x:v>26558204.200000003</x:v>
      </x:c>
      <x:c r="F178" s="2">
        <x:f>SUM(F174:F177)</x:f>
        <x:v>410917271.20000005</x:v>
      </x:c>
      <x:c r="H178" s="1"/>
      <x:c r="I178" s="1"/>
      <x:c r="J178" s="1"/>
      <x:c r="K178" s="2">
        <x:f>SUM(K174:K177)</x:f>
        <x:v>67486405</x:v>
      </x:c>
      <x:c r="L178" s="2">
        <x:f>SUM(L174:L177)</x:f>
        <x:v>2571229</x:v>
      </x:c>
      <x:c r="M178" s="2">
        <x:f>SUM(M174:M177)</x:f>
        <x:v>70057634</x:v>
      </x:c>
    </x:row>
    <x:row r="181" spans="1:10" s="2" customFormat="1">
      <x:c r="A181" s="1" t="s">
        <x:v>148</x:v>
      </x:c>
      <x:c r="B181" s="1"/>
      <x:c r="C181" s="1"/>
      <x:c r="D181" s="2">
        <x:f>+D174+K174</x:f>
        <x:v>244662888</x:v>
      </x:c>
      <x:c r="E181" s="2">
        <x:f>+E174+L174</x:f>
        <x:v>24466287.600000001</x:v>
      </x:c>
      <x:c r="F181" s="2">
        <x:f>+F174+M174</x:f>
        <x:v>269129175.60000002</x:v>
      </x:c>
      <x:c r="H181" s="1"/>
      <x:c r="I181" s="1"/>
      <x:c r="J181" s="1"/>
    </x:row>
    <x:row r="182" spans="1:10" s="2" customFormat="1">
      <x:c r="A182" s="1" t="s">
        <x:v>153</x:v>
      </x:c>
      <x:c r="B182" s="1"/>
      <x:c r="C182" s="1"/>
      <x:c r="D182" s="2">
        <x:f t="shared" ref="D182:F184" si="30">+D175+K175</x:f>
        <x:v>182790500</x:v>
      </x:c>
      <x:c r="E182" s="2">
        <x:f t="shared" si="30"/>
        <x:v>2947550</x:v>
      </x:c>
      <x:c r="F182" s="2">
        <x:f t="shared" si="30"/>
        <x:v>185738050</x:v>
      </x:c>
      <x:c r="H182" s="1"/>
      <x:c r="I182" s="1"/>
      <x:c r="J182" s="1"/>
    </x:row>
    <x:row r="183" spans="1:10" s="2" customFormat="1">
      <x:c r="A183" s="1" t="s">
        <x:v>187</x:v>
      </x:c>
      <x:c r="B183" s="1"/>
      <x:c r="C183" s="1"/>
      <x:c r="D183" s="2">
        <x:f t="shared" si="30"/>
        <x:v>8225000</x:v>
      </x:c>
      <x:c r="E183" s="2">
        <x:f t="shared" si="30"/>
        <x:v>822500</x:v>
      </x:c>
      <x:c r="F183" s="2">
        <x:f t="shared" si="30"/>
        <x:v>9047500</x:v>
      </x:c>
      <x:c r="H183" s="1"/>
      <x:c r="I183" s="1"/>
      <x:c r="J183" s="1"/>
    </x:row>
    <x:row r="184" spans="1:10" s="2" customFormat="1">
      <x:c r="A184" s="1" t="s">
        <x:v>149</x:v>
      </x:c>
      <x:c r="B184" s="1"/>
      <x:c r="C184" s="1"/>
      <x:c r="D184" s="2">
        <x:f t="shared" si="30"/>
        <x:v>16167084</x:v>
      </x:c>
      <x:c r="E184" s="2">
        <x:f t="shared" si="30"/>
        <x:v>893095.59999999998</x:v>
      </x:c>
      <x:c r="F184" s="2">
        <x:f t="shared" si="30"/>
        <x:v>17060179.600000001</x:v>
      </x:c>
      <x:c r="H184" s="1"/>
      <x:c r="I184" s="1"/>
      <x:c r="J184" s="1"/>
    </x:row>
    <x:row r="185" spans="1:10" s="2" customFormat="1">
      <x:c r="A185" s="1" t="s">
        <x:v>1019</x:v>
      </x:c>
      <x:c r="B185" s="1"/>
      <x:c r="C185" s="1"/>
      <x:c r="D185" s="2">
        <x:f>SUM(D181:D184)</x:f>
        <x:v>451845472</x:v>
      </x:c>
      <x:c r="E185" s="2">
        <x:f>SUM(E181:E184)</x:f>
        <x:v>29129433.200000003</x:v>
      </x:c>
      <x:c r="F185" s="2">
        <x:f>SUM(F181:F184)</x:f>
        <x:v>480974905.20000005</x:v>
      </x:c>
      <x:c r="H185" s="1"/>
      <x:c r="I185" s="1"/>
      <x:c r="J185" s="1"/>
    </x:row>
    <x:row r="186" spans="1:10" s="2" customFormat="1">
      <x:c r="A186" s="1" t="s">
        <x:v>151</x:v>
      </x:c>
      <x:c r="B186" s="1"/>
      <x:c r="C186" s="1"/>
      <x:c r="D186" s="2">
        <x:f>D4+D45+D88+K4+K45+K88+D131+K131</x:f>
        <x:v>638513000</x:v>
      </x:c>
      <x:c r="E186" s="2">
        <x:f>E4+E45+E88+L4+L45+L88</x:f>
        <x:v>9630000</x:v>
      </x:c>
      <x:c r="F186" s="2">
        <x:f>F4+F45+F88+M4+M45+M88</x:f>
        <x:v>304200000</x:v>
      </x:c>
      <x:c r="H186" s="1"/>
      <x:c r="I186" s="1"/>
      <x:c r="J186" s="1"/>
    </x:row>
    <x:row r="187" spans="1:10" s="2" customFormat="1">
      <x:c r="A187" s="1" t="s">
        <x:v>632</x:v>
      </x:c>
      <x:c r="B187" s="1"/>
      <x:c r="C187" s="1"/>
      <x:c r="D187" s="2">
        <x:f>+D186-D185</x:f>
        <x:v>186667528</x:v>
      </x:c>
      <x:c r="E187" s="2">
        <x:f>+E186-E185</x:f>
        <x:v>-19499433.200000003</x:v>
      </x:c>
      <x:c r="F187" s="2">
        <x:f>+F186-F185</x:f>
        <x:v>-176774905.20000005</x:v>
      </x:c>
      <x:c r="H187" s="1"/>
      <x:c r="I187" s="1"/>
      <x:c r="J187" s="1"/>
    </x:row>
  </x:sheetData>
  <x:mergeCells count="42">
    <x:mergeCell ref="A149:A152"/>
    <x:mergeCell ref="H149:H152"/>
    <x:mergeCell ref="A154:A157"/>
    <x:mergeCell ref="H154:H157"/>
    <x:mergeCell ref="A159:A168"/>
    <x:mergeCell ref="H159:H168"/>
    <x:mergeCell ref="A116:A125"/>
    <x:mergeCell ref="H116:H125"/>
    <x:mergeCell ref="A129:G129"/>
    <x:mergeCell ref="H129:N129"/>
    <x:mergeCell ref="A132:A147"/>
    <x:mergeCell ref="H132:H147"/>
    <x:mergeCell ref="A89:A104"/>
    <x:mergeCell ref="H89:H104"/>
    <x:mergeCell ref="A106:A109"/>
    <x:mergeCell ref="H106:H109"/>
    <x:mergeCell ref="A111:A114"/>
    <x:mergeCell ref="H111:H114"/>
    <x:mergeCell ref="A68:A71"/>
    <x:mergeCell ref="H68:H71"/>
    <x:mergeCell ref="A73:A82"/>
    <x:mergeCell ref="H73:H82"/>
    <x:mergeCell ref="A86:G86"/>
    <x:mergeCell ref="H86:N86"/>
    <x:mergeCell ref="A43:G43"/>
    <x:mergeCell ref="H43:N43"/>
    <x:mergeCell ref="A46:A61"/>
    <x:mergeCell ref="H46:H61"/>
    <x:mergeCell ref="A63:A66"/>
    <x:mergeCell ref="H63:H66"/>
    <x:mergeCell ref="A18:A22"/>
    <x:mergeCell ref="H18:H22"/>
    <x:mergeCell ref="A24:A27"/>
    <x:mergeCell ref="H24:H27"/>
    <x:mergeCell ref="A29:A39"/>
    <x:mergeCell ref="H29:H39"/>
    <x:mergeCell ref="A1:N1"/>
    <x:mergeCell ref="O1:S1"/>
    <x:mergeCell ref="A2:G2"/>
    <x:mergeCell ref="H2:N2"/>
    <x:mergeCell ref="A5:A16"/>
    <x:mergeCell ref="H5:H16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2" min="0" max="1048575" man="1" pt="0"/>
    <x:brk id="85" min="0" max="1048575" man="1" pt="0"/>
    <x:brk id="128" min="0" max="1048575" man="1" pt="0"/>
  </x:rowBreaks>
</x:worksheet>
</file>

<file path=xl/worksheets/sheet5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7"/>
  <x:dimension ref="A1:S115"/>
  <x:sheetViews>
    <x:sheetView view="pageBreakPreview" topLeftCell="A1" zoomScaleNormal="100" zoomScaleSheetLayoutView="100" workbookViewId="0">
      <x:selection activeCell="G7" activeCellId="0" sqref="G7:G7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195"/>
      <x:c r="C2" s="195"/>
      <x:c r="D2" s="195"/>
      <x:c r="E2" s="195"/>
      <x:c r="F2" s="195"/>
      <x:c r="G2" s="195"/>
      <x:c r="H2" s="195"/>
      <x:c r="I2" s="195"/>
      <x:c r="J2" s="195"/>
      <x:c r="K2" s="195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197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'21년06월(세부내역)'!D4</x:f>
        <x:v>267536364</x:v>
      </x:c>
      <x:c r="F5" s="67">
        <x:f>'21년06월(세부내역)'!D18</x:f>
        <x:v>41764370</x:v>
      </x:c>
      <x:c r="G5" s="67">
        <x:f>'21년06월(세부내역)'!D24</x:f>
        <x:v>124747500</x:v>
      </x:c>
      <x:c r="H5" s="67">
        <x:f>'21년06월(세부내역)'!D29</x:f>
        <x:v>1209000</x:v>
      </x:c>
      <x:c r="I5" s="67">
        <x:f>'21년06월(세부내역)'!D41</x:f>
        <x:v>6595181</x:v>
      </x:c>
      <x:c r="J5" s="75">
        <x:f t="shared" ref="J5:J12" si="0">+SUM(F5:I5)</x:f>
        <x:v>174316051</x:v>
      </x:c>
      <x:c r="K5" s="141">
        <x:f t="shared" ref="K5:K12" si="1">E5-J5</x:f>
        <x:v>93220313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140</x:v>
      </x:c>
      <x:c r="E6" s="74">
        <x:f>'21년06월(세부내역)'!K4</x:f>
        <x:v>39910000</x:v>
      </x:c>
      <x:c r="F6" s="59">
        <x:f>+'21년06월(세부내역)'!K18</x:f>
        <x:v>13993180</x:v>
      </x:c>
      <x:c r="G6" s="59">
        <x:f>'21년06월(세부내역)'!K24</x:f>
        <x:v>17870000</x:v>
      </x:c>
      <x:c r="H6" s="59">
        <x:f>'21년06월(세부내역)'!K29</x:f>
        <x:v>0</x:v>
      </x:c>
      <x:c r="I6" s="59">
        <x:f>'21년06월(세부내역)'!K41</x:f>
        <x:v>-5617281</x:v>
      </x:c>
      <x:c r="J6" s="75">
        <x:f t="shared" si="0"/>
        <x:v>26245899</x:v>
      </x:c>
      <x:c r="K6" s="140">
        <x:f t="shared" si="1"/>
        <x:v>13664101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'21년06월(세부내역)'!K46</x:f>
        <x:v>53370000</x:v>
      </x:c>
      <x:c r="F7" s="59">
        <x:f>'21년06월(세부내역)'!K63</x:f>
        <x:v>12882390</x:v>
      </x:c>
      <x:c r="G7" s="59">
        <x:f>'21년06월(세부내역)'!K68</x:f>
        <x:v>21010000</x:v>
      </x:c>
      <x:c r="H7" s="59">
        <x:f>'21년06월(세부내역)'!K73</x:f>
        <x:v>0</x:v>
      </x:c>
      <x:c r="I7" s="59">
        <x:f>'21년06월(세부내역)'!K84</x:f>
        <x:v>3311859</x:v>
      </x:c>
      <x:c r="J7" s="75">
        <x:f t="shared" si="0"/>
        <x:v>37204249</x:v>
      </x:c>
      <x:c r="K7" s="141">
        <x:f t="shared" si="1"/>
        <x:v>16165751</x:v>
      </x:c>
      <x:c r="L7" s="204"/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95</x:v>
      </x:c>
      <x:c r="E8" s="74">
        <x:f>'21년06월(세부내역)'!D89</x:f>
        <x:v>30000000</x:v>
      </x:c>
      <x:c r="F8" s="59">
        <x:f>'21년06월(세부내역)'!D106</x:f>
        <x:v>6237400</x:v>
      </x:c>
      <x:c r="G8" s="59">
        <x:f>'21년06월(세부내역)'!D111</x:f>
        <x:v>9250000</x:v>
      </x:c>
      <x:c r="H8" s="59">
        <x:f>'21년06월(세부내역)'!D116</x:f>
        <x:v>550000</x:v>
      </x:c>
      <x:c r="I8" s="59">
        <x:f>'21년06월(세부내역)'!D127</x:f>
        <x:v>987370</x:v>
      </x:c>
      <x:c r="J8" s="75">
        <x:f t="shared" si="0"/>
        <x:v>17024770</x:v>
      </x:c>
      <x:c r="K8" s="141">
        <x:f t="shared" si="1"/>
        <x:v>12975230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'21년06월(세부내역)'!K89</x:f>
        <x:v>13000000</x:v>
      </x:c>
      <x:c r="F9" s="59">
        <x:f>'21년06월(세부내역)'!K106</x:f>
        <x:v>12269916</x:v>
      </x:c>
      <x:c r="G9" s="59">
        <x:f>'21년06월(세부내역)'!K111</x:f>
        <x:v>10795000</x:v>
      </x:c>
      <x:c r="H9" s="59">
        <x:f>'21년06월(세부내역)'!K116</x:f>
        <x:v>0</x:v>
      </x:c>
      <x:c r="I9" s="59">
        <x:f>'21년06월(세부내역)'!K127</x:f>
        <x:v>905620</x:v>
      </x:c>
      <x:c r="J9" s="75">
        <x:f t="shared" si="0"/>
        <x:v>23970536</x:v>
      </x:c>
      <x:c r="K9" s="141">
        <x:f t="shared" si="1"/>
        <x:v>-10970536</x:v>
      </x:c>
      <x:c r="L9" s="204"/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'21년06월(세부내역)'!D132</x:f>
        <x:v>308297000</x:v>
      </x:c>
      <x:c r="F10" s="59">
        <x:f>'21년06월(세부내역)'!D149</x:f>
        <x:v>220459000</x:v>
      </x:c>
      <x:c r="G10" s="59">
        <x:f>'21년06월(세부내역)'!D154</x:f>
        <x:v>19015000</x:v>
      </x:c>
      <x:c r="H10" s="59">
        <x:f>'21년06월(세부내역)'!D159</x:f>
        <x:v>4600000</x:v>
      </x:c>
      <x:c r="I10" s="59">
        <x:f>'21년06월(세부내역)'!D170</x:f>
        <x:v>-161250</x:v>
      </x:c>
      <x:c r="J10" s="75">
        <x:f t="shared" si="0"/>
        <x:v>243912750</x:v>
      </x:c>
      <x:c r="K10" s="141">
        <x:f t="shared" si="1"/>
        <x:v>64384250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'21년06월(세부내역)'!D46</x:f>
        <x:v>0</x:v>
      </x:c>
      <x:c r="F11" s="59">
        <x:f>+'21년06월(세부내역)'!D63</x:f>
        <x:v>14707828</x:v>
      </x:c>
      <x:c r="G11" s="59">
        <x:f>'21년06월(세부내역)'!D68</x:f>
        <x:v>27960000</x:v>
      </x:c>
      <x:c r="H11" s="59">
        <x:f>'21년06월(세부내역)'!D73</x:f>
        <x:v>480000</x:v>
      </x:c>
      <x:c r="I11" s="59">
        <x:f>'21년06월(세부내역)'!D84</x:f>
        <x:v>3208502</x:v>
      </x:c>
      <x:c r="J11" s="75">
        <x:f t="shared" si="0"/>
        <x:v>46356330</x:v>
      </x:c>
      <x:c r="K11" s="141">
        <x:f>E11-J11</x:f>
        <x:v>-46356330</x:v>
      </x:c>
      <x:c r="L11" s="205" t="s">
        <x:v>258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'21년06월(세부내역)'!K132</x:f>
        <x:v>0</x:v>
      </x:c>
      <x:c r="F12" s="59">
        <x:f>'21년06월(세부내역)'!K149</x:f>
        <x:v>0</x:v>
      </x:c>
      <x:c r="G12" s="59">
        <x:f>+'21년06월(세부내역)'!K154</x:f>
        <x:v>0</x:v>
      </x:c>
      <x:c r="H12" s="59">
        <x:f>+'21년06월(세부내역)'!K159</x:f>
        <x:v>0</x:v>
      </x:c>
      <x:c r="I12" s="59">
        <x:f>+'21년06월(세부내역)'!K170</x:f>
        <x:v>4574727.2727272725</x:v>
      </x:c>
      <x:c r="J12" s="75">
        <x:f t="shared" si="0"/>
        <x:v>4574727.2727272725</x:v>
      </x:c>
      <x:c r="K12" s="141">
        <x:f t="shared" si="1"/>
        <x:v>-4574727.2727272725</x:v>
      </x:c>
      <x:c r="L12" s="204"/>
    </x:row>
    <x:row r="13" spans="1:12" ht="30" customHeight="1">
      <x:c r="A13" s="64"/>
      <x:c r="B13" s="64" t="s">
        <x:v>1690</x:v>
      </x:c>
      <x:c r="C13" s="64"/>
      <x:c r="D13" s="64"/>
      <x:c r="E13" s="68">
        <x:f t="shared" ref="E13:K13" si="2">SUM(E5:E12)</x:f>
        <x:v>712113364</x:v>
      </x:c>
      <x:c r="F13" s="66">
        <x:f t="shared" si="2"/>
        <x:v>322314084</x:v>
      </x:c>
      <x:c r="G13" s="66">
        <x:f t="shared" si="2"/>
        <x:v>230647500</x:v>
      </x:c>
      <x:c r="H13" s="66">
        <x:f t="shared" si="2"/>
        <x:v>6839000</x:v>
      </x:c>
      <x:c r="I13" s="66">
        <x:f t="shared" si="2"/>
        <x:v>13804728.272727273</x:v>
      </x:c>
      <x:c r="J13" s="69">
        <x:f t="shared" si="2"/>
        <x:v>573605312.27272725</x:v>
      </x:c>
      <x:c r="K13" s="142">
        <x:f t="shared" si="2"/>
        <x:v>138508051.72727272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5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8"/>
  <x:dimension ref="A1:V188"/>
  <x:sheetViews>
    <x:sheetView view="pageBreakPreview" topLeftCell="A118" zoomScaleNormal="100" zoomScaleSheetLayoutView="100" workbookViewId="0">
      <x:selection activeCell="J165" activeCellId="0" sqref="J165:J16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1797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197" t="s">
        <x:v>144</x:v>
      </x:c>
      <x:c r="C3" s="197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197" t="s">
        <x:v>144</x:v>
      </x:c>
      <x:c r="J3" s="197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267536364</x:v>
      </x:c>
      <x:c r="E4" s="39">
        <x:v>8463636.4000000004</x:v>
      </x:c>
      <x:c r="F4" s="40">
        <x:f>+D4+E4</x:f>
        <x:v>276000000.39999998</x:v>
      </x:c>
      <x:c r="G4" s="42"/>
      <x:c r="H4" s="196" t="s">
        <x:v>151</x:v>
      </x:c>
      <x:c r="I4" s="38" t="s">
        <x:v>1679</x:v>
      </x:c>
      <x:c r="J4" s="38" t="s">
        <x:v>1030</x:v>
      </x:c>
      <x:c r="K4" s="39">
        <x:v>39910000</x:v>
      </x:c>
      <x:c r="L4" s="39">
        <x:v>90000</x:v>
      </x:c>
      <x:c r="M4" s="40">
        <x:f>+K4+L4</x:f>
        <x:v>40000000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165" t="s">
        <x:v>867</x:v>
      </x:c>
      <x:c r="C5" s="166" t="s">
        <x:v>384</x:v>
      </x:c>
      <x:c r="D5" s="167">
        <x:v>-98146354</x:v>
      </x:c>
      <x:c r="E5" s="167">
        <x:f>+D5*0.1</x:f>
        <x:v>-9814635.4000000004</x:v>
      </x:c>
      <x:c r="F5" s="168">
        <x:f t="shared" ref="F5:F17" si="0">+D5+E5</x:f>
        <x:v>-107960989.40000001</x:v>
      </x:c>
      <x:c r="G5" s="169" t="s">
        <x:v>1305</x:v>
      </x:c>
      <x:c r="H5" s="298" t="s">
        <x:v>148</x:v>
      </x:c>
      <x:c r="I5" s="19" t="s">
        <x:v>838</x:v>
      </x:c>
      <x:c r="J5" s="19"/>
      <x:c r="K5" s="20"/>
      <x:c r="L5" s="20"/>
      <x:c r="M5" s="21">
        <x:f t="shared" ref="M5:M23" si="1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62" t="s">
        <x:v>867</x:v>
      </x:c>
      <x:c r="C6" s="162" t="s">
        <x:v>384</x:v>
      </x:c>
      <x:c r="D6" s="201">
        <x:v>98146354</x:v>
      </x:c>
      <x:c r="E6" s="201">
        <x:f>+D6*0.1</x:f>
        <x:v>9814635.4000000004</x:v>
      </x:c>
      <x:c r="F6" s="202">
        <x:f t="shared" si="0"/>
        <x:v>107960989.40000001</x:v>
      </x:c>
      <x:c r="G6" s="203"/>
      <x:c r="H6" s="299"/>
      <x:c r="I6" s="3" t="s">
        <x:v>867</x:v>
      </x:c>
      <x:c r="J6" s="3"/>
      <x:c r="K6" s="4"/>
      <x:c r="L6" s="4"/>
      <x:c r="M6" s="5">
        <x:f t="shared" ref="M6:M12" si="2">+K6+L6</x:f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178" t="s">
        <x:v>902</x:v>
      </x:c>
      <x:c r="C7" s="178" t="s">
        <x:v>1110</x:v>
      </x:c>
      <x:c r="D7" s="163">
        <x:v>13638000</x:v>
      </x:c>
      <x:c r="E7" s="44">
        <x:f t="shared" ref="E7:E15" si="3">+D7*0.1</x:f>
        <x:v>1363800</x:v>
      </x:c>
      <x:c r="F7" s="164">
        <x:f t="shared" si="0"/>
        <x:v>15001800</x:v>
      </x:c>
      <x:c r="G7" s="180"/>
      <x:c r="H7" s="299"/>
      <x:c r="I7" s="3" t="s">
        <x:v>854</x:v>
      </x:c>
      <x:c r="J7" s="3" t="s">
        <x:v>495</x:v>
      </x:c>
      <x:c r="K7" s="4">
        <x:v>1672070</x:v>
      </x:c>
      <x:c r="L7" s="4">
        <x:f t="shared" ref="L7:L13" si="4">+K7*0.1</x:f>
        <x:v>167207</x:v>
      </x:c>
      <x:c r="M7" s="5">
        <x:f t="shared" si="2"/>
        <x:v>1839277</x:v>
      </x:c>
      <x:c r="N7" s="6"/>
    </x:row>
    <x:row r="8" spans="1:14" ht="20.100000000000001" customHeight="1">
      <x:c r="A8" s="299"/>
      <x:c r="B8" s="162" t="s">
        <x:v>867</x:v>
      </x:c>
      <x:c r="C8" s="162" t="s">
        <x:v>384</x:v>
      </x:c>
      <x:c r="D8" s="44">
        <x:v>3415500</x:v>
      </x:c>
      <x:c r="E8" s="44">
        <x:f t="shared" si="3"/>
        <x:v>341550</x:v>
      </x:c>
      <x:c r="F8" s="45">
        <x:f t="shared" si="0"/>
        <x:v>3757050</x:v>
      </x:c>
      <x:c r="G8" s="179"/>
      <x:c r="H8" s="299"/>
      <x:c r="I8" s="3" t="s">
        <x:v>1348</x:v>
      </x:c>
      <x:c r="J8" s="3" t="s">
        <x:v>1415</x:v>
      </x:c>
      <x:c r="K8" s="4">
        <x:v>1806500</x:v>
      </x:c>
      <x:c r="L8" s="4">
        <x:f t="shared" si="4"/>
        <x:v>180650</x:v>
      </x:c>
      <x:c r="M8" s="5">
        <x:f t="shared" si="2"/>
        <x:v>1987150</x:v>
      </x:c>
      <x:c r="N8" s="6"/>
    </x:row>
    <x:row r="9" spans="1:14" ht="20.100000000000001" customHeight="1">
      <x:c r="A9" s="299"/>
      <x:c r="B9" s="3" t="s">
        <x:v>1348</x:v>
      </x:c>
      <x:c r="C9" s="3" t="s">
        <x:v>401</x:v>
      </x:c>
      <x:c r="D9" s="4">
        <x:v>1016000</x:v>
      </x:c>
      <x:c r="E9" s="4">
        <x:f t="shared" si="3"/>
        <x:v>101600</x:v>
      </x:c>
      <x:c r="F9" s="5">
        <x:f t="shared" si="0"/>
        <x:v>1117600</x:v>
      </x:c>
      <x:c r="G9" s="37"/>
      <x:c r="H9" s="299"/>
      <x:c r="I9" s="3" t="s">
        <x:v>846</x:v>
      </x:c>
      <x:c r="J9" s="3" t="s">
        <x:v>1152</x:v>
      </x:c>
      <x:c r="K9" s="4">
        <x:v>672550</x:v>
      </x:c>
      <x:c r="L9" s="4">
        <x:f t="shared" si="4"/>
        <x:v>67255</x:v>
      </x:c>
      <x:c r="M9" s="5">
        <x:f t="shared" si="2"/>
        <x:v>739805</x:v>
      </x:c>
      <x:c r="N9" s="6"/>
    </x:row>
    <x:row r="10" spans="1:14" ht="20.100000000000001" customHeight="1">
      <x:c r="A10" s="299"/>
      <x:c r="B10" s="3" t="s">
        <x:v>846</x:v>
      </x:c>
      <x:c r="C10" s="162" t="s">
        <x:v>1132</x:v>
      </x:c>
      <x:c r="D10" s="4">
        <x:v>1414000</x:v>
      </x:c>
      <x:c r="E10" s="4">
        <x:f t="shared" si="3"/>
        <x:v>141400</x:v>
      </x:c>
      <x:c r="F10" s="5">
        <x:f t="shared" si="0"/>
        <x:v>1555400</x:v>
      </x:c>
      <x:c r="G10" s="37"/>
      <x:c r="H10" s="299"/>
      <x:c r="I10" s="3" t="s">
        <x:v>967</x:v>
      </x:c>
      <x:c r="J10" s="3" t="s">
        <x:v>1337</x:v>
      </x:c>
      <x:c r="K10" s="4">
        <x:v>3242060</x:v>
      </x:c>
      <x:c r="L10" s="4">
        <x:f t="shared" si="4"/>
        <x:v>324206</x:v>
      </x:c>
      <x:c r="M10" s="5">
        <x:f t="shared" si="2"/>
        <x:v>3566266</x:v>
      </x:c>
      <x:c r="N10" s="6"/>
    </x:row>
    <x:row r="11" spans="1:14" ht="20.100000000000001" customHeight="1">
      <x:c r="A11" s="299"/>
      <x:c r="B11" s="3" t="s">
        <x:v>907</x:v>
      </x:c>
      <x:c r="C11" s="162" t="s">
        <x:v>1232</x:v>
      </x:c>
      <x:c r="D11" s="163">
        <x:v>2000000</x:v>
      </x:c>
      <x:c r="E11" s="4">
        <x:f t="shared" si="3"/>
        <x:v>200000</x:v>
      </x:c>
      <x:c r="F11" s="45">
        <x:f t="shared" si="0"/>
        <x:v>2200000</x:v>
      </x:c>
      <x:c r="G11" s="6"/>
      <x:c r="H11" s="299"/>
      <x:c r="I11" s="3" t="s">
        <x:v>1016</x:v>
      </x:c>
      <x:c r="J11" s="3" t="s">
        <x:v>1231</x:v>
      </x:c>
      <x:c r="K11" s="4">
        <x:v>3000000</x:v>
      </x:c>
      <x:c r="L11" s="4">
        <x:f t="shared" si="4"/>
        <x:v>300000</x:v>
      </x:c>
      <x:c r="M11" s="5">
        <x:f t="shared" si="2"/>
        <x:v>3300000</x:v>
      </x:c>
      <x:c r="N11" s="6"/>
    </x:row>
    <x:row r="12" spans="1:14" ht="20.100000000000001" customHeight="1">
      <x:c r="A12" s="299"/>
      <x:c r="B12" s="3" t="s">
        <x:v>1119</x:v>
      </x:c>
      <x:c r="C12" s="162" t="s">
        <x:v>717</x:v>
      </x:c>
      <x:c r="D12" s="163">
        <x:v>4769500</x:v>
      </x:c>
      <x:c r="E12" s="4">
        <x:f t="shared" si="3"/>
        <x:v>476950</x:v>
      </x:c>
      <x:c r="F12" s="45">
        <x:f t="shared" si="0"/>
        <x:v>5246450</x:v>
      </x:c>
      <x:c r="G12" s="37"/>
      <x:c r="H12" s="299"/>
      <x:c r="I12" s="3" t="s">
        <x:v>1102</x:v>
      </x:c>
      <x:c r="J12" s="3" t="s">
        <x:v>1215</x:v>
      </x:c>
      <x:c r="K12" s="4">
        <x:v>3600000</x:v>
      </x:c>
      <x:c r="L12" s="4">
        <x:f t="shared" si="4"/>
        <x:v>360000</x:v>
      </x:c>
      <x:c r="M12" s="5">
        <x:f t="shared" si="2"/>
        <x:v>3960000</x:v>
      </x:c>
      <x:c r="N12" s="6"/>
    </x:row>
    <x:row r="13" spans="1:14" ht="20.100000000000001" customHeight="1">
      <x:c r="A13" s="299"/>
      <x:c r="B13" s="3" t="s">
        <x:v>846</x:v>
      </x:c>
      <x:c r="C13" s="3" t="s">
        <x:v>1249</x:v>
      </x:c>
      <x:c r="D13" s="4">
        <x:v>2216600</x:v>
      </x:c>
      <x:c r="E13" s="4">
        <x:f t="shared" si="3"/>
        <x:v>221660</x:v>
      </x:c>
      <x:c r="F13" s="5">
        <x:f t="shared" si="0"/>
        <x:v>2438260</x:v>
      </x:c>
      <x:c r="G13" s="37"/>
      <x:c r="H13" s="299"/>
      <x:c r="I13" s="3"/>
      <x:c r="J13" s="3"/>
      <x:c r="K13" s="4"/>
      <x:c r="L13" s="4">
        <x:f t="shared" si="4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178" t="s">
        <x:v>864</x:v>
      </x:c>
      <x:c r="C14" s="3" t="s">
        <x:v>444</x:v>
      </x:c>
      <x:c r="D14" s="4">
        <x:v>10914770</x:v>
      </x:c>
      <x:c r="E14" s="4">
        <x:f t="shared" si="3"/>
        <x:v>1091477</x:v>
      </x:c>
      <x:c r="F14" s="5">
        <x:f t="shared" si="0"/>
        <x:v>12006247</x:v>
      </x:c>
      <x:c r="G14" s="6"/>
      <x:c r="H14" s="299"/>
      <x:c r="I14" s="3"/>
      <x:c r="J14" s="3"/>
      <x:c r="K14" s="4"/>
      <x:c r="L14" s="4"/>
      <x:c r="M14" s="5">
        <x:f t="shared" si="1"/>
        <x:v>0</x:v>
      </x:c>
      <x:c r="N14" s="6"/>
    </x:row>
    <x:row r="15" spans="1:14" ht="20.100000000000001" customHeight="1">
      <x:c r="A15" s="299"/>
      <x:c r="B15" s="162" t="s">
        <x:v>1449</x:v>
      </x:c>
      <x:c r="C15" s="162" t="s">
        <x:v>1420</x:v>
      </x:c>
      <x:c r="D15" s="163">
        <x:v>2380000</x:v>
      </x:c>
      <x:c r="E15" s="4">
        <x:f t="shared" si="3"/>
        <x:v>238000</x:v>
      </x:c>
      <x:c r="F15" s="45">
        <x:f t="shared" si="0"/>
        <x:v>2618000</x:v>
      </x:c>
      <x:c r="G15" s="37"/>
      <x:c r="H15" s="299"/>
      <x:c r="I15" s="3"/>
      <x:c r="J15" s="3"/>
      <x:c r="K15" s="4"/>
      <x:c r="L15" s="4"/>
      <x:c r="M15" s="5">
        <x:f t="shared" si="1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>+D16*0.1</x:f>
        <x:v>0</x:v>
      </x:c>
      <x:c r="F16" s="45">
        <x:f t="shared" si="0"/>
        <x:v>0</x:v>
      </x:c>
      <x:c r="G16" s="6"/>
      <x:c r="H16" s="299"/>
      <x:c r="I16" s="3"/>
      <x:c r="J16" s="3"/>
      <x:c r="K16" s="4"/>
      <x:c r="L16" s="4"/>
      <x:c r="M16" s="5">
        <x:f t="shared" si="1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>
        <x:f>+D17*0.1</x:f>
        <x:v>0</x:v>
      </x:c>
      <x:c r="F17" s="45">
        <x:f t="shared" si="0"/>
        <x:v>0</x:v>
      </x:c>
      <x:c r="G17" s="6"/>
      <x:c r="H17" s="300"/>
      <x:c r="I17" s="3"/>
      <x:c r="J17" s="3"/>
      <x:c r="K17" s="4"/>
      <x:c r="L17" s="4"/>
      <x:c r="M17" s="5">
        <x:f t="shared" si="1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SUM(D5:D17)</x:f>
        <x:v>41764370</x:v>
      </x:c>
      <x:c r="E18" s="9">
        <x:f>SUM(E5:E17)</x:f>
        <x:v>4176437</x:v>
      </x:c>
      <x:c r="F18" s="10">
        <x:f>SUM(F5:F17)</x:f>
        <x:v>45940807</x:v>
      </x:c>
      <x:c r="G18" s="11"/>
      <x:c r="H18" s="7"/>
      <x:c r="I18" s="8"/>
      <x:c r="J18" s="8"/>
      <x:c r="K18" s="9">
        <x:f>SUM(K5:K17)</x:f>
        <x:v>13993180</x:v>
      </x:c>
      <x:c r="L18" s="9">
        <x:f>SUM(L5:L17)</x:f>
        <x:v>1399318</x:v>
      </x:c>
      <x:c r="M18" s="10">
        <x:f>SUM(M5:M17)</x:f>
        <x:v>15392498</x:v>
      </x:c>
      <x:c r="N18" s="11"/>
    </x:row>
    <x:row r="19" spans="1:14" ht="20.100000000000001" customHeight="1">
      <x:c r="A19" s="301" t="s">
        <x:v>153</x:v>
      </x:c>
      <x:c r="B19" s="3" t="s">
        <x:v>1677</x:v>
      </x:c>
      <x:c r="C19" s="3" t="s">
        <x:v>1079</x:v>
      </x:c>
      <x:c r="D19" s="44">
        <x:f>22975000+2300000</x:f>
        <x:v>25275000</x:v>
      </x:c>
      <x:c r="E19" s="44"/>
      <x:c r="F19" s="45">
        <x:f>+D19+E19</x:f>
        <x:v>25275000</x:v>
      </x:c>
      <x:c r="G19" s="37"/>
      <x:c r="H19" s="301" t="s">
        <x:v>153</x:v>
      </x:c>
      <x:c r="I19" s="3" t="s">
        <x:v>1677</x:v>
      </x:c>
      <x:c r="J19" s="3" t="s">
        <x:v>1083</x:v>
      </x:c>
      <x:c r="K19" s="4">
        <x:v>17870000</x:v>
      </x:c>
      <x:c r="L19" s="4"/>
      <x:c r="M19" s="5">
        <x:f t="shared" si="1"/>
        <x:v>17870000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1368</x:v>
      </x:c>
      <x:c r="D20" s="4">
        <x:f>19579500+5760000</x:f>
        <x:v>25339500</x:v>
      </x:c>
      <x:c r="E20" s="4">
        <x:f>8239500*0.1</x:f>
        <x:v>823950</x:v>
      </x:c>
      <x:c r="F20" s="5">
        <x:f>+D20+E20</x:f>
        <x:v>26163450</x:v>
      </x:c>
      <x:c r="G20" s="37"/>
      <x:c r="H20" s="299"/>
      <x:c r="I20" s="3"/>
      <x:c r="J20" s="3"/>
      <x:c r="K20" s="4"/>
      <x:c r="L20" s="4">
        <x:f>INT(K20*0.1)</x:f>
        <x:v>0</x:v>
      </x:c>
      <x:c r="M20" s="5">
        <x:f t="shared" si="1"/>
        <x:v>0</x:v>
      </x:c>
      <x:c r="N20" s="6"/>
    </x:row>
    <x:row r="21" spans="1:22" s="2" customFormat="1" ht="20.100000000000001" customHeight="1">
      <x:c r="A21" s="299"/>
      <x:c r="B21" s="3" t="s">
        <x:v>1241</x:v>
      </x:c>
      <x:c r="C21" s="3" t="s">
        <x:v>1389</x:v>
      </x:c>
      <x:c r="D21" s="4">
        <x:v>14500000</x:v>
      </x:c>
      <x:c r="E21" s="4"/>
      <x:c r="F21" s="5">
        <x:f>+D21+E21</x:f>
        <x:v>14500000</x:v>
      </x:c>
      <x:c r="G21" s="37"/>
      <x:c r="H21" s="299"/>
      <x:c r="I21" s="3"/>
      <x:c r="J21" s="3"/>
      <x:c r="K21" s="4"/>
      <x:c r="L21" s="4"/>
      <x:c r="M21" s="5">
        <x:f t="shared" si="1"/>
        <x:v>0</x:v>
      </x:c>
      <x:c r="N21" s="6"/>
      <x:c r="V21" s="1"/>
    </x:row>
    <x:row r="22" spans="1:22" s="2" customFormat="1" ht="20.100000000000001" customHeight="1">
      <x:c r="A22" s="299"/>
      <x:c r="B22" s="3" t="s">
        <x:v>1241</x:v>
      </x:c>
      <x:c r="C22" s="3" t="s">
        <x:v>1369</x:v>
      </x:c>
      <x:c r="D22" s="4">
        <x:f>57093000</x:f>
        <x:v>57093000</x:v>
      </x:c>
      <x:c r="E22" s="4">
        <x:f>21273000*0.1</x:f>
        <x:v>2127300</x:v>
      </x:c>
      <x:c r="F22" s="5">
        <x:f>+D22+E22</x:f>
        <x:v>59220300</x:v>
      </x:c>
      <x:c r="G22" s="37"/>
      <x:c r="H22" s="299"/>
      <x:c r="I22" s="3"/>
      <x:c r="J22" s="3"/>
      <x:c r="K22" s="4"/>
      <x:c r="L22" s="4"/>
      <x:c r="M22" s="5"/>
      <x:c r="N22" s="6"/>
      <x:c r="V22" s="1"/>
    </x:row>
    <x:row r="23" spans="1:22" s="2" customFormat="1" ht="20.100000000000001" customHeight="1">
      <x:c r="A23" s="300"/>
      <x:c r="B23" s="3" t="s">
        <x:v>1241</x:v>
      </x:c>
      <x:c r="C23" s="3" t="s">
        <x:v>168</x:v>
      </x:c>
      <x:c r="D23" s="4">
        <x:v>2540000</x:v>
      </x:c>
      <x:c r="E23" s="4"/>
      <x:c r="F23" s="5">
        <x:f>+D23+E23</x:f>
        <x:v>2540000</x:v>
      </x:c>
      <x:c r="G23" s="6"/>
      <x:c r="H23" s="300"/>
      <x:c r="I23" s="3"/>
      <x:c r="J23" s="3"/>
      <x:c r="K23" s="4"/>
      <x:c r="L23" s="4"/>
      <x:c r="M23" s="5">
        <x:f t="shared" si="1"/>
        <x:v>0</x:v>
      </x:c>
      <x:c r="N23" s="6"/>
      <x:c r="V23" s="1"/>
    </x:row>
    <x:row r="24" spans="1:22" s="2" customFormat="1" ht="20.100000000000001" customHeight="1">
      <x:c r="A24" s="7" t="s">
        <x:v>155</x:v>
      </x:c>
      <x:c r="B24" s="8"/>
      <x:c r="C24" s="8"/>
      <x:c r="D24" s="9">
        <x:f>SUM(D19:D23)</x:f>
        <x:v>124747500</x:v>
      </x:c>
      <x:c r="E24" s="9">
        <x:f>SUM(E19:E23)</x:f>
        <x:v>2951250</x:v>
      </x:c>
      <x:c r="F24" s="10">
        <x:f>SUM(F19:F23)</x:f>
        <x:v>127698750</x:v>
      </x:c>
      <x:c r="G24" s="11"/>
      <x:c r="H24" s="7"/>
      <x:c r="I24" s="8"/>
      <x:c r="J24" s="8"/>
      <x:c r="K24" s="9">
        <x:f>SUM(K19:K23)</x:f>
        <x:v>17870000</x:v>
      </x:c>
      <x:c r="L24" s="9">
        <x:f>SUM(L19:L23)</x:f>
        <x:v>0</x:v>
      </x:c>
      <x:c r="M24" s="10">
        <x:f>SUM(M19:M23)</x:f>
        <x:v>17870000</x:v>
      </x:c>
      <x:c r="N24" s="11"/>
      <x:c r="V24" s="1"/>
    </x:row>
    <x:row r="25" spans="1:22" s="2" customFormat="1" ht="20.100000000000001" customHeight="1">
      <x:c r="A25" s="301" t="s">
        <x:v>187</x:v>
      </x:c>
      <x:c r="B25" s="3" t="s">
        <x:v>1321</x:v>
      </x:c>
      <x:c r="C25" s="3" t="s">
        <x:v>948</x:v>
      </x:c>
      <x:c r="D25" s="4">
        <x:v>360000</x:v>
      </x:c>
      <x:c r="E25" s="4">
        <x:f>+D25*0.1</x:f>
        <x:v>36000</x:v>
      </x:c>
      <x:c r="F25" s="5">
        <x:f>+D25+E25</x:f>
        <x:v>396000</x:v>
      </x:c>
      <x:c r="G25" s="6"/>
      <x:c r="H25" s="301" t="s">
        <x:v>187</x:v>
      </x:c>
      <x:c r="I25" s="3" t="s">
        <x:v>1384</x:v>
      </x:c>
      <x:c r="J25" s="3" t="s">
        <x:v>157</x:v>
      </x:c>
      <x:c r="K25" s="4"/>
      <x:c r="L25" s="4"/>
      <x:c r="M25" s="5">
        <x:f>+K25+L25</x:f>
        <x:v>0</x:v>
      </x:c>
      <x:c r="N25" s="6"/>
      <x:c r="V25" s="1"/>
    </x:row>
    <x:row r="26" spans="1:22" s="2" customFormat="1" ht="20.100000000000001" customHeight="1">
      <x:c r="A26" s="299"/>
      <x:c r="B26" s="3" t="s">
        <x:v>436</x:v>
      </x:c>
      <x:c r="C26" s="3" t="s">
        <x:v>1390</x:v>
      </x:c>
      <x:c r="D26" s="4">
        <x:v>849000</x:v>
      </x:c>
      <x:c r="E26" s="4">
        <x:f>+D26*0.1</x:f>
        <x:v>84900</x:v>
      </x:c>
      <x:c r="F26" s="5">
        <x:f>+D26+E26</x:f>
        <x:v>933900</x:v>
      </x:c>
      <x:c r="G26" s="6"/>
      <x:c r="H26" s="299"/>
      <x:c r="I26" s="3" t="s">
        <x:v>1402</x:v>
      </x:c>
      <x:c r="J26" s="3" t="s">
        <x:v>157</x:v>
      </x:c>
      <x:c r="K26" s="4"/>
      <x:c r="L26" s="4"/>
      <x:c r="M26" s="5">
        <x:f>+K26+L26</x:f>
        <x:v>0</x:v>
      </x:c>
      <x:c r="N26" s="6"/>
      <x:c r="V26" s="1"/>
    </x:row>
    <x:row r="27" spans="1:22" s="2" customFormat="1" ht="20.100000000000001" customHeight="1">
      <x:c r="A27" s="299"/>
      <x:c r="B27" s="3" t="s">
        <x:v>1387</x:v>
      </x:c>
      <x:c r="C27" s="3" t="s">
        <x:v>157</x:v>
      </x:c>
      <x:c r="D27" s="4"/>
      <x:c r="E27" s="4"/>
      <x:c r="F27" s="5">
        <x:f>+D27+E27</x:f>
        <x:v>0</x:v>
      </x:c>
      <x:c r="G27" s="6"/>
      <x:c r="H27" s="299"/>
      <x:c r="I27" s="3" t="s">
        <x:v>1388</x:v>
      </x:c>
      <x:c r="J27" s="3" t="s">
        <x:v>157</x:v>
      </x:c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300"/>
      <x:c r="B28" s="3"/>
      <x:c r="C28" s="3"/>
      <x:c r="D28" s="4"/>
      <x:c r="E28" s="4"/>
      <x:c r="F28" s="5">
        <x:f>+D28+E28</x:f>
        <x:v>0</x:v>
      </x:c>
      <x:c r="G28" s="6"/>
      <x:c r="H28" s="300"/>
      <x:c r="I28" s="3" t="s">
        <x:v>1211</x:v>
      </x:c>
      <x:c r="J28" s="3" t="s">
        <x:v>948</x:v>
      </x:c>
      <x:c r="K28" s="4"/>
      <x:c r="L28" s="4">
        <x:f>+K28*0.1</x:f>
        <x:v>0</x:v>
      </x:c>
      <x:c r="M28" s="5">
        <x:f>+K28+L28</x:f>
        <x:v>0</x:v>
      </x:c>
      <x:c r="N28" s="6"/>
      <x:c r="V28" s="1"/>
    </x:row>
    <x:row r="29" spans="1:22" s="2" customFormat="1" ht="20.100000000000001" customHeight="1">
      <x:c r="A29" s="7" t="s">
        <x:v>155</x:v>
      </x:c>
      <x:c r="B29" s="8"/>
      <x:c r="C29" s="8"/>
      <x:c r="D29" s="9">
        <x:f>SUM(D25:D28)</x:f>
        <x:v>1209000</x:v>
      </x:c>
      <x:c r="E29" s="9">
        <x:f>SUM(E25:E28)</x:f>
        <x:v>120900</x:v>
      </x:c>
      <x:c r="F29" s="10">
        <x:f>SUM(F25:F28)</x:f>
        <x:v>1329900</x:v>
      </x:c>
      <x:c r="G29" s="11"/>
      <x:c r="H29" s="7"/>
      <x:c r="I29" s="8"/>
      <x:c r="J29" s="8"/>
      <x:c r="K29" s="9">
        <x:f>SUM(K25:K28)</x:f>
        <x:v>0</x:v>
      </x:c>
      <x:c r="L29" s="9">
        <x:f>SUM(L25:L28)</x:f>
        <x:v>0</x:v>
      </x:c>
      <x:c r="M29" s="10">
        <x:f>SUM(M25:M28)</x:f>
        <x:v>0</x:v>
      </x:c>
      <x:c r="N29" s="11"/>
      <x:c r="V29" s="1"/>
    </x:row>
    <x:row r="30" spans="1:22" s="2" customFormat="1" ht="20.100000000000001" customHeight="1">
      <x:c r="A30" s="301" t="s">
        <x:v>149</x:v>
      </x:c>
      <x:c r="B30" s="3" t="s">
        <x:v>185</x:v>
      </x:c>
      <x:c r="C30" s="3" t="s">
        <x:v>149</x:v>
      </x:c>
      <x:c r="D30" s="44">
        <x:v>2029680</x:v>
      </x:c>
      <x:c r="E30" s="44"/>
      <x:c r="F30" s="5">
        <x:f>+D30+E30</x:f>
        <x:v>2029680</x:v>
      </x:c>
      <x:c r="G30" s="6"/>
      <x:c r="H30" s="301" t="s">
        <x:v>149</x:v>
      </x:c>
      <x:c r="I30" s="3" t="s">
        <x:v>169</x:v>
      </x:c>
      <x:c r="J30" s="3" t="s">
        <x:v>149</x:v>
      </x:c>
      <x:c r="K30" s="4">
        <x:v>1374610</x:v>
      </x:c>
      <x:c r="L30" s="4">
        <x:v>7000</x:v>
      </x:c>
      <x:c r="M30" s="5">
        <x:f>+K30+L30</x:f>
        <x:v>1381610</x:v>
      </x:c>
      <x:c r="N30" s="6"/>
      <x:c r="V30" s="1"/>
    </x:row>
    <x:row r="31" spans="1:22" s="2" customFormat="1" ht="20.100000000000001" customHeight="1">
      <x:c r="A31" s="299"/>
      <x:c r="B31" s="3" t="s">
        <x:v>1274</x:v>
      </x:c>
      <x:c r="C31" s="3" t="s">
        <x:v>962</x:v>
      </x:c>
      <x:c r="D31" s="4">
        <x:v>900000</x:v>
      </x:c>
      <x:c r="E31" s="4">
        <x:f>+D31*0.1</x:f>
        <x:v>90000</x:v>
      </x:c>
      <x:c r="F31" s="5">
        <x:f>+D31+E31</x:f>
        <x:v>990000</x:v>
      </x:c>
      <x:c r="G31" s="6"/>
      <x:c r="H31" s="299"/>
      <x:c r="I31" s="3" t="s">
        <x:v>1205</x:v>
      </x:c>
      <x:c r="J31" s="3" t="s">
        <x:v>28</x:v>
      </x:c>
      <x:c r="K31" s="4">
        <x:v>725454</x:v>
      </x:c>
      <x:c r="L31" s="4">
        <x:f>+INT(K31*0.1)+1</x:f>
        <x:v>72546</x:v>
      </x:c>
      <x:c r="M31" s="5">
        <x:f>+K31+L31</x:f>
        <x:v>798000</x:v>
      </x:c>
      <x:c r="N31" s="6"/>
      <x:c r="V31" s="1"/>
    </x:row>
    <x:row r="32" spans="1:22" s="2" customFormat="1" ht="20.100000000000001" customHeight="1">
      <x:c r="A32" s="299"/>
      <x:c r="B32" s="3" t="s">
        <x:v>1313</x:v>
      </x:c>
      <x:c r="C32" s="3" t="s">
        <x:v>825</x:v>
      </x:c>
      <x:c r="D32" s="4"/>
      <x:c r="E32" s="4"/>
      <x:c r="F32" s="5">
        <x:f t="shared" ref="F32:F40" si="5">+D32+E32</x:f>
        <x:v>0</x:v>
      </x:c>
      <x:c r="G32" s="6"/>
      <x:c r="H32" s="299"/>
      <x:c r="I32" s="3" t="s">
        <x:v>217</x:v>
      </x:c>
      <x:c r="J32" s="3" t="s">
        <x:v>736</x:v>
      </x:c>
      <x:c r="K32" s="4">
        <x:v>-10000000</x:v>
      </x:c>
      <x:c r="L32" s="4"/>
      <x:c r="M32" s="5">
        <x:f>+K32+L32</x:f>
        <x:v>-10000000</x:v>
      </x:c>
      <x:c r="N32" s="6" t="s">
        <x:v>937</x:v>
      </x:c>
      <x:c r="V32" s="1"/>
    </x:row>
    <x:row r="33" spans="1:22" s="2" customFormat="1" ht="20.100000000000001" customHeight="1">
      <x:c r="A33" s="299"/>
      <x:c r="B33" s="3" t="s">
        <x:v>490</x:v>
      </x:c>
      <x:c r="C33" s="3" t="s">
        <x:v>1395</x:v>
      </x:c>
      <x:c r="D33" s="4"/>
      <x:c r="E33" s="4"/>
      <x:c r="F33" s="5">
        <x:f t="shared" si="5"/>
        <x:v>0</x:v>
      </x:c>
      <x:c r="G33" s="6" t="s">
        <x:v>1393</x:v>
      </x:c>
      <x:c r="H33" s="299"/>
      <x:c r="I33" s="3" t="s">
        <x:v>1680</x:v>
      </x:c>
      <x:c r="J33" s="3" t="s">
        <x:v>1695</x:v>
      </x:c>
      <x:c r="K33" s="4">
        <x:v>100000</x:v>
      </x:c>
      <x:c r="L33" s="4">
        <x:f>+K33*0.1</x:f>
        <x:v>10000</x:v>
      </x:c>
      <x:c r="M33" s="5">
        <x:f>+K33+L33</x:f>
        <x:v>110000</x:v>
      </x:c>
      <x:c r="N33" s="6"/>
      <x:c r="V33" s="1"/>
    </x:row>
    <x:row r="34" spans="1:22" s="2" customFormat="1" ht="20.100000000000001" customHeight="1">
      <x:c r="A34" s="299"/>
      <x:c r="B34" s="3" t="s">
        <x:v>994</x:v>
      </x:c>
      <x:c r="C34" s="3" t="s">
        <x:v>8</x:v>
      </x:c>
      <x:c r="D34" s="4">
        <x:v>420001</x:v>
      </x:c>
      <x:c r="E34" s="4">
        <x:v>41999</x:v>
      </x:c>
      <x:c r="F34" s="5">
        <x:f t="shared" si="5"/>
        <x:v>462000</x:v>
      </x:c>
      <x:c r="G34" s="6"/>
      <x:c r="H34" s="299"/>
      <x:c r="I34" s="3" t="s">
        <x:v>1120</x:v>
      </x:c>
      <x:c r="J34" s="3" t="s">
        <x:v>167</x:v>
      </x:c>
      <x:c r="K34" s="4"/>
      <x:c r="L34" s="4"/>
      <x:c r="M34" s="5">
        <x:f t="shared" ref="M34:M40" si="6">+K34+L34</x:f>
        <x:v>0</x:v>
      </x:c>
      <x:c r="N34" s="6"/>
      <x:c r="V34" s="1"/>
    </x:row>
    <x:row r="35" spans="1:22" s="2" customFormat="1" ht="20.100000000000001" customHeight="1">
      <x:c r="A35" s="299"/>
      <x:c r="B35" s="3" t="s">
        <x:v>1680</x:v>
      </x:c>
      <x:c r="C35" s="3" t="s">
        <x:v>1695</x:v>
      </x:c>
      <x:c r="D35" s="4">
        <x:v>100000</x:v>
      </x:c>
      <x:c r="E35" s="4">
        <x:f>+D35*0.1</x:f>
        <x:v>10000</x:v>
      </x:c>
      <x:c r="F35" s="5">
        <x:f t="shared" si="5"/>
        <x:v>110000</x:v>
      </x:c>
      <x:c r="G35" s="6"/>
      <x:c r="H35" s="299"/>
      <x:c r="I35" s="3" t="s">
        <x:v>247</x:v>
      </x:c>
      <x:c r="J35" s="3" t="s">
        <x:v>231</x:v>
      </x:c>
      <x:c r="K35" s="4">
        <x:v>21000</x:v>
      </x:c>
      <x:c r="L35" s="4">
        <x:f>+K35*0.1</x:f>
        <x:v>2100</x:v>
      </x:c>
      <x:c r="M35" s="5">
        <x:f t="shared" si="6"/>
        <x:v>23100</x:v>
      </x:c>
      <x:c r="N35" s="6"/>
      <x:c r="V35" s="1"/>
    </x:row>
    <x:row r="36" spans="1:22" s="2" customFormat="1" ht="20.100000000000001" customHeight="1">
      <x:c r="A36" s="299"/>
      <x:c r="B36" s="3" t="s">
        <x:v>247</x:v>
      </x:c>
      <x:c r="C36" s="3" t="s">
        <x:v>231</x:v>
      </x:c>
      <x:c r="D36" s="4">
        <x:f>20000+3500</x:f>
        <x:v>23500</x:v>
      </x:c>
      <x:c r="E36" s="4">
        <x:f>+D36*0.1</x:f>
        <x:v>2350</x:v>
      </x:c>
      <x:c r="F36" s="5">
        <x:f t="shared" si="5"/>
        <x:v>25850</x:v>
      </x:c>
      <x:c r="G36" s="146" t="s">
        <x:v>1451</x:v>
      </x:c>
      <x:c r="H36" s="299"/>
      <x:c r="I36" s="3" t="s">
        <x:v>774</x:v>
      </x:c>
      <x:c r="J36" s="3" t="s">
        <x:v>1233</x:v>
      </x:c>
      <x:c r="K36" s="4">
        <x:v>2100000</x:v>
      </x:c>
      <x:c r="L36" s="4">
        <x:f>+K36*0.1</x:f>
        <x:v>210000</x:v>
      </x:c>
      <x:c r="M36" s="5">
        <x:f t="shared" si="6"/>
        <x:v>2310000</x:v>
      </x:c>
      <x:c r="N36" s="6"/>
      <x:c r="V36" s="1"/>
    </x:row>
    <x:row r="37" spans="1:22" s="2" customFormat="1" ht="20.100000000000001" customHeight="1">
      <x:c r="A37" s="299"/>
      <x:c r="B37" s="3" t="s">
        <x:v>1304</x:v>
      </x:c>
      <x:c r="C37" s="3" t="s">
        <x:v>167</x:v>
      </x:c>
      <x:c r="D37" s="4">
        <x:v>302000</x:v>
      </x:c>
      <x:c r="E37" s="4">
        <x:f>+D37*0.1</x:f>
        <x:v>30200</x:v>
      </x:c>
      <x:c r="F37" s="5">
        <x:f>+D37+E37</x:f>
        <x:v>332200</x:v>
      </x:c>
      <x:c r="G37" s="146"/>
      <x:c r="H37" s="299"/>
      <x:c r="I37" s="3" t="s">
        <x:v>683</x:v>
      </x:c>
      <x:c r="J37" s="3" t="s">
        <x:v>1450</x:v>
      </x:c>
      <x:c r="K37" s="4">
        <x:v>61655</x:v>
      </x:c>
      <x:c r="L37" s="209">
        <x:f>+INT(K37*0.1)+1</x:f>
        <x:v>6166</x:v>
      </x:c>
      <x:c r="M37" s="5">
        <x:f t="shared" si="6"/>
        <x:v>67821</x:v>
      </x:c>
      <x:c r="N37" s="6" t="s">
        <x:v>1428</x:v>
      </x:c>
      <x:c r="V37" s="1"/>
    </x:row>
    <x:row r="38" spans="1:22" s="2" customFormat="1" ht="20.100000000000001" customHeight="1">
      <x:c r="A38" s="299"/>
      <x:c r="B38" s="3" t="s">
        <x:v>238</x:v>
      </x:c>
      <x:c r="C38" s="3" t="s">
        <x:v>405</x:v>
      </x:c>
      <x:c r="D38" s="4">
        <x:v>420000</x:v>
      </x:c>
      <x:c r="E38" s="4"/>
      <x:c r="F38" s="5">
        <x:f>+D38+E38</x:f>
        <x:v>420000</x:v>
      </x:c>
      <x:c r="G38" s="146"/>
      <x:c r="H38" s="299"/>
      <x:c r="I38" s="3"/>
      <x:c r="J38" s="3"/>
      <x:c r="K38" s="4"/>
      <x:c r="L38" s="4">
        <x:f>+K38*0.1</x:f>
        <x:v>0</x:v>
      </x:c>
      <x:c r="M38" s="5">
        <x:f t="shared" si="6"/>
        <x:v>0</x:v>
      </x:c>
      <x:c r="N38" s="6"/>
      <x:c r="V38" s="1"/>
    </x:row>
    <x:row r="39" spans="1:22" s="2" customFormat="1" ht="20.100000000000001" customHeight="1">
      <x:c r="A39" s="299"/>
      <x:c r="B39" s="3" t="s">
        <x:v>270</x:v>
      </x:c>
      <x:c r="C39" s="3" t="s">
        <x:v>134</x:v>
      </x:c>
      <x:c r="D39" s="4">
        <x:v>2290000</x:v>
      </x:c>
      <x:c r="E39" s="4"/>
      <x:c r="F39" s="5">
        <x:f t="shared" si="5"/>
        <x:v>2290000</x:v>
      </x:c>
      <x:c r="G39" s="146" t="s">
        <x:v>1424</x:v>
      </x:c>
      <x:c r="H39" s="299"/>
      <x:c r="I39" s="3"/>
      <x:c r="J39" s="3"/>
      <x:c r="K39" s="4"/>
      <x:c r="L39" s="4"/>
      <x:c r="M39" s="5"/>
      <x:c r="N39" s="6"/>
      <x:c r="V39" s="1"/>
    </x:row>
    <x:row r="40" spans="1:22" s="2" customFormat="1" ht="20.100000000000001" customHeight="1">
      <x:c r="A40" s="300"/>
      <x:c r="B40" s="3" t="s">
        <x:v>260</x:v>
      </x:c>
      <x:c r="C40" s="3" t="s">
        <x:v>882</x:v>
      </x:c>
      <x:c r="D40" s="4">
        <x:v>110000</x:v>
      </x:c>
      <x:c r="E40" s="4"/>
      <x:c r="F40" s="5">
        <x:f t="shared" si="5"/>
        <x:v>110000</x:v>
      </x:c>
      <x:c r="G40" s="6"/>
      <x:c r="H40" s="300"/>
      <x:c r="I40" s="3"/>
      <x:c r="J40" s="3"/>
      <x:c r="K40" s="4"/>
      <x:c r="L40" s="4"/>
      <x:c r="M40" s="5">
        <x:f t="shared" si="6"/>
        <x:v>0</x:v>
      </x:c>
      <x:c r="N40" s="6"/>
      <x:c r="V40" s="1"/>
    </x:row>
    <x:row r="41" spans="1:22" s="2" customFormat="1" ht="20.100000000000001" customHeight="1">
      <x:c r="A41" s="7" t="s">
        <x:v>155</x:v>
      </x:c>
      <x:c r="B41" s="8"/>
      <x:c r="C41" s="8"/>
      <x:c r="D41" s="9">
        <x:f>SUM(D30:D40)</x:f>
        <x:v>6595181</x:v>
      </x:c>
      <x:c r="E41" s="9">
        <x:f>SUM(E30:E40)</x:f>
        <x:v>174549</x:v>
      </x:c>
      <x:c r="F41" s="10">
        <x:f>SUM(F30:F40)</x:f>
        <x:v>6769730</x:v>
      </x:c>
      <x:c r="G41" s="11"/>
      <x:c r="H41" s="7"/>
      <x:c r="I41" s="8"/>
      <x:c r="J41" s="8"/>
      <x:c r="K41" s="9">
        <x:f>SUM(K30:K40)</x:f>
        <x:v>-5617281</x:v>
      </x:c>
      <x:c r="L41" s="9">
        <x:f>SUM(L30:L40)</x:f>
        <x:v>307812</x:v>
      </x:c>
      <x:c r="M41" s="10">
        <x:f>SUM(M30:M40)</x:f>
        <x:v>-5309469</x:v>
      </x:c>
      <x:c r="N41" s="11"/>
      <x:c r="V41" s="1"/>
    </x:row>
    <x:row r="42" spans="1:22" s="2" customFormat="1" ht="20.100000000000001" customHeight="1">
      <x:c r="A42" s="12" t="s">
        <x:v>1690</x:v>
      </x:c>
      <x:c r="B42" s="13"/>
      <x:c r="C42" s="13"/>
      <x:c r="D42" s="14">
        <x:f>+D18+D24+D29+D41</x:f>
        <x:v>174316051</x:v>
      </x:c>
      <x:c r="E42" s="14">
        <x:f>+E18+E24+E29+E41</x:f>
        <x:v>7423136</x:v>
      </x:c>
      <x:c r="F42" s="15">
        <x:f>+F18+F24+F29+F41</x:f>
        <x:v>181739187</x:v>
      </x:c>
      <x:c r="G42" s="16"/>
      <x:c r="H42" s="12"/>
      <x:c r="I42" s="13"/>
      <x:c r="J42" s="13"/>
      <x:c r="K42" s="14">
        <x:f>+K18+K24+K29+K41</x:f>
        <x:v>26245899</x:v>
      </x:c>
      <x:c r="L42" s="14">
        <x:f>+L18+L24+L29+L41</x:f>
        <x:v>1707130</x:v>
      </x:c>
      <x:c r="M42" s="15">
        <x:f>+M18+M24+M29+M41</x:f>
        <x:v>27953029</x:v>
      </x:c>
      <x:c r="N42" s="16"/>
      <x:c r="V42" s="1"/>
    </x:row>
    <x:row r="43" spans="1:22" s="2" customFormat="1" ht="20.100000000000001" customHeight="1">
      <x:c r="A43" s="23" t="s">
        <x:v>35</x:v>
      </x:c>
      <x:c r="B43" s="24"/>
      <x:c r="C43" s="24"/>
      <x:c r="D43" s="25">
        <x:f>+D4-D42</x:f>
        <x:v>93220313</x:v>
      </x:c>
      <x:c r="E43" s="25">
        <x:f>+E4-E42</x:f>
        <x:v>1040500.4000000004</x:v>
      </x:c>
      <x:c r="F43" s="26">
        <x:f>+F4-F42</x:f>
        <x:v>94260813.399999976</x:v>
      </x:c>
      <x:c r="G43" s="27"/>
      <x:c r="H43" s="23"/>
      <x:c r="I43" s="24"/>
      <x:c r="J43" s="24"/>
      <x:c r="K43" s="25">
        <x:f>+K4-K42</x:f>
        <x:v>13664101</x:v>
      </x:c>
      <x:c r="L43" s="25">
        <x:f>+L4-L42</x:f>
        <x:v>-1617130</x:v>
      </x:c>
      <x:c r="M43" s="26">
        <x:f>+M4-M42</x:f>
        <x:v>12046971</x:v>
      </x:c>
      <x:c r="N43" s="27"/>
      <x:c r="V43" s="1"/>
    </x:row>
    <x:row r="44" spans="1:22" s="2" customFormat="1" ht="20.100000000000001" customHeight="1">
      <x:c r="A44" s="302" t="s">
        <x:v>410</x:v>
      </x:c>
      <x:c r="B44" s="303"/>
      <x:c r="C44" s="303"/>
      <x:c r="D44" s="303"/>
      <x:c r="E44" s="303"/>
      <x:c r="F44" s="304"/>
      <x:c r="G44" s="305"/>
      <x:c r="H44" s="302" t="s">
        <x:v>789</x:v>
      </x:c>
      <x:c r="I44" s="303"/>
      <x:c r="J44" s="303"/>
      <x:c r="K44" s="303"/>
      <x:c r="L44" s="303"/>
      <x:c r="M44" s="304"/>
      <x:c r="N44" s="305"/>
      <x:c r="V44" s="1"/>
    </x:row>
    <x:row r="45" spans="1:22" s="2" customFormat="1" ht="20.100000000000001" customHeight="1">
      <x:c r="A45" s="29" t="s">
        <x:v>147</x:v>
      </x:c>
      <x:c r="B45" s="197" t="s">
        <x:v>144</x:v>
      </x:c>
      <x:c r="C45" s="197" t="s">
        <x:v>150</x:v>
      </x:c>
      <x:c r="D45" s="31" t="s">
        <x:v>145</x:v>
      </x:c>
      <x:c r="E45" s="31" t="s">
        <x:v>152</x:v>
      </x:c>
      <x:c r="F45" s="31" t="s">
        <x:v>146</x:v>
      </x:c>
      <x:c r="G45" s="34" t="s">
        <x:v>154</x:v>
      </x:c>
      <x:c r="H45" s="29" t="s">
        <x:v>147</x:v>
      </x:c>
      <x:c r="I45" s="197" t="s">
        <x:v>144</x:v>
      </x:c>
      <x:c r="J45" s="197" t="s">
        <x:v>150</x:v>
      </x:c>
      <x:c r="K45" s="31" t="s">
        <x:v>145</x:v>
      </x:c>
      <x:c r="L45" s="31" t="s">
        <x:v>152</x:v>
      </x:c>
      <x:c r="M45" s="32" t="s">
        <x:v>146</x:v>
      </x:c>
      <x:c r="N45" s="33" t="s">
        <x:v>154</x:v>
      </x:c>
      <x:c r="V45" s="1"/>
    </x:row>
    <x:row r="46" spans="1:22" s="2" customFormat="1" ht="20.100000000000001" customHeight="1">
      <x:c r="A46" s="41" t="s">
        <x:v>151</x:v>
      </x:c>
      <x:c r="B46" s="149" t="s">
        <x:v>1679</x:v>
      </x:c>
      <x:c r="C46" s="149" t="s">
        <x:v>488</x:v>
      </x:c>
      <x:c r="D46" s="150"/>
      <x:c r="E46" s="150"/>
      <x:c r="F46" s="40">
        <x:f>+D46+E46</x:f>
        <x:v>0</x:v>
      </x:c>
      <x:c r="G46" s="42"/>
      <x:c r="H46" s="196" t="s">
        <x:v>151</x:v>
      </x:c>
      <x:c r="I46" s="38" t="s">
        <x:v>1679</x:v>
      </x:c>
      <x:c r="J46" s="38" t="s">
        <x:v>156</x:v>
      </x:c>
      <x:c r="K46" s="39">
        <x:v>53370000</x:v>
      </x:c>
      <x:c r="L46" s="39">
        <x:f>+K46*0.1</x:f>
        <x:v>5337000</x:v>
      </x:c>
      <x:c r="M46" s="40">
        <x:f t="shared" ref="M46:M54" si="7">+K46+L46</x:f>
        <x:v>58707000</x:v>
      </x:c>
      <x:c r="N46" s="18"/>
      <x:c r="V46" s="1"/>
    </x:row>
    <x:row r="47" spans="1:22" s="2" customFormat="1" ht="20.100000000000001" customHeight="1">
      <x:c r="A47" s="298" t="s">
        <x:v>148</x:v>
      </x:c>
      <x:c r="B47" s="147" t="s">
        <x:v>867</x:v>
      </x:c>
      <x:c r="C47" s="3" t="s">
        <x:v>1287</x:v>
      </x:c>
      <x:c r="D47" s="148">
        <x:v>2047200</x:v>
      </x:c>
      <x:c r="E47" s="148">
        <x:f>D47*0.1</x:f>
        <x:v>204720</x:v>
      </x:c>
      <x:c r="F47" s="94">
        <x:f>+D47+E47</x:f>
        <x:v>2251920</x:v>
      </x:c>
      <x:c r="G47" s="22"/>
      <x:c r="H47" s="298" t="s">
        <x:v>148</x:v>
      </x:c>
      <x:c r="I47" s="54" t="s">
        <x:v>867</x:v>
      </x:c>
      <x:c r="J47" s="54" t="s">
        <x:v>374</x:v>
      </x:c>
      <x:c r="K47" s="93">
        <x:v>7425000</x:v>
      </x:c>
      <x:c r="L47" s="93">
        <x:f>+K47*0.1</x:f>
        <x:v>742500</x:v>
      </x:c>
      <x:c r="M47" s="94">
        <x:f t="shared" si="7"/>
        <x:v>8167500</x:v>
      </x:c>
      <x:c r="N47" s="95"/>
      <x:c r="V47" s="1"/>
    </x:row>
    <x:row r="48" spans="1:22" s="2" customFormat="1" ht="20.100000000000001" customHeight="1">
      <x:c r="A48" s="299"/>
      <x:c r="B48" s="147" t="s">
        <x:v>838</x:v>
      </x:c>
      <x:c r="C48" s="3" t="s">
        <x:v>1116</x:v>
      </x:c>
      <x:c r="D48" s="148">
        <x:v>791160</x:v>
      </x:c>
      <x:c r="E48" s="148">
        <x:f>D48*0.1</x:f>
        <x:v>79116</x:v>
      </x:c>
      <x:c r="F48" s="4">
        <x:f t="shared" ref="F48:F54" si="8">+D48+E48</x:f>
        <x:v>870276</x:v>
      </x:c>
      <x:c r="G48" s="6"/>
      <x:c r="H48" s="299"/>
      <x:c r="I48" s="162" t="s">
        <x:v>1348</x:v>
      </x:c>
      <x:c r="J48" s="162"/>
      <x:c r="K48" s="163"/>
      <x:c r="L48" s="163"/>
      <x:c r="M48" s="164">
        <x:f t="shared" si="7"/>
        <x:v>0</x:v>
      </x:c>
      <x:c r="N48" s="158"/>
      <x:c r="V48" s="1"/>
    </x:row>
    <x:row r="49" spans="1:22" s="2" customFormat="1" ht="20.100000000000001" customHeight="1">
      <x:c r="A49" s="299"/>
      <x:c r="B49" s="3" t="s">
        <x:v>1315</x:v>
      </x:c>
      <x:c r="C49" s="3" t="s">
        <x:v>1711</x:v>
      </x:c>
      <x:c r="D49" s="4">
        <x:v>3403610</x:v>
      </x:c>
      <x:c r="E49" s="4">
        <x:f>+D49*0.1</x:f>
        <x:v>340361</x:v>
      </x:c>
      <x:c r="F49" s="5">
        <x:f t="shared" si="8"/>
        <x:v>3743971</x:v>
      </x:c>
      <x:c r="G49" s="6"/>
      <x:c r="H49" s="299"/>
      <x:c r="I49" s="3" t="s">
        <x:v>838</x:v>
      </x:c>
      <x:c r="J49" s="3" t="s">
        <x:v>1116</x:v>
      </x:c>
      <x:c r="K49" s="4">
        <x:v>1337590</x:v>
      </x:c>
      <x:c r="L49" s="4">
        <x:f>+K49*0.1</x:f>
        <x:v>133759</x:v>
      </x:c>
      <x:c r="M49" s="5">
        <x:f t="shared" si="7"/>
        <x:v>1471349</x:v>
      </x:c>
      <x:c r="N49" s="6"/>
      <x:c r="V49" s="1"/>
    </x:row>
    <x:row r="50" spans="1:22" s="2" customFormat="1" ht="20.100000000000001" customHeight="1">
      <x:c r="A50" s="299"/>
      <x:c r="B50" s="3" t="s">
        <x:v>846</x:v>
      </x:c>
      <x:c r="C50" s="3" t="s">
        <x:v>1410</x:v>
      </x:c>
      <x:c r="D50" s="4">
        <x:v>605000</x:v>
      </x:c>
      <x:c r="E50" s="4">
        <x:f>+D50*0.1</x:f>
        <x:v>60500</x:v>
      </x:c>
      <x:c r="F50" s="5">
        <x:f t="shared" si="8"/>
        <x:v>665500</x:v>
      </x:c>
      <x:c r="G50" s="6"/>
      <x:c r="H50" s="299"/>
      <x:c r="I50" s="3" t="s">
        <x:v>1119</x:v>
      </x:c>
      <x:c r="J50" s="3" t="s">
        <x:v>1386</x:v>
      </x:c>
      <x:c r="K50" s="4">
        <x:v>1284000</x:v>
      </x:c>
      <x:c r="L50" s="4">
        <x:f>+K50*0.1</x:f>
        <x:v>128400</x:v>
      </x:c>
      <x:c r="M50" s="5">
        <x:f t="shared" si="7"/>
        <x:v>1412400</x:v>
      </x:c>
      <x:c r="N50" s="6"/>
      <x:c r="V50" s="1"/>
    </x:row>
    <x:row r="51" spans="1:22" s="2" customFormat="1" ht="20.100000000000001" customHeight="1">
      <x:c r="A51" s="299"/>
      <x:c r="B51" s="3" t="s">
        <x:v>1348</x:v>
      </x:c>
      <x:c r="C51" s="3" t="s">
        <x:v>499</x:v>
      </x:c>
      <x:c r="D51" s="4">
        <x:v>1429448</x:v>
      </x:c>
      <x:c r="E51" s="4">
        <x:f>+D51*0.1-1</x:f>
        <x:v>142943.80000000002</x:v>
      </x:c>
      <x:c r="F51" s="5">
        <x:f t="shared" si="8"/>
        <x:v>1572391.8</x:v>
      </x:c>
      <x:c r="G51" s="6"/>
      <x:c r="H51" s="299"/>
      <x:c r="I51" s="3" t="s">
        <x:v>938</x:v>
      </x:c>
      <x:c r="J51" s="3"/>
      <x:c r="K51" s="4"/>
      <x:c r="L51" s="4"/>
      <x:c r="M51" s="5">
        <x:f t="shared" si="7"/>
        <x:v>0</x:v>
      </x:c>
      <x:c r="N51" s="6"/>
      <x:c r="V51" s="1"/>
    </x:row>
    <x:row r="52" spans="1:22" s="2" customFormat="1" ht="20.100000000000001" customHeight="1">
      <x:c r="A52" s="299"/>
      <x:c r="B52" s="3" t="s">
        <x:v>1378</x:v>
      </x:c>
      <x:c r="C52" s="3" t="s">
        <x:v>1426</x:v>
      </x:c>
      <x:c r="D52" s="4">
        <x:v>141350</x:v>
      </x:c>
      <x:c r="E52" s="4">
        <x:f>+D52*0.1</x:f>
        <x:v>14135</x:v>
      </x:c>
      <x:c r="F52" s="5">
        <x:f t="shared" si="8"/>
        <x:v>155485</x:v>
      </x:c>
      <x:c r="G52" s="6" t="s">
        <x:v>1423</x:v>
      </x:c>
      <x:c r="H52" s="299"/>
      <x:c r="I52" s="3" t="s">
        <x:v>846</x:v>
      </x:c>
      <x:c r="J52" s="3" t="s">
        <x:v>1408</x:v>
      </x:c>
      <x:c r="K52" s="4">
        <x:v>1253500</x:v>
      </x:c>
      <x:c r="L52" s="4">
        <x:f>+K52*0.1</x:f>
        <x:v>125350</x:v>
      </x:c>
      <x:c r="M52" s="5">
        <x:f t="shared" si="7"/>
        <x:v>1378850</x:v>
      </x:c>
      <x:c r="N52" s="6"/>
      <x:c r="V52" s="1"/>
    </x:row>
    <x:row r="53" spans="1:22" s="2" customFormat="1" ht="20.100000000000001" customHeight="1">
      <x:c r="A53" s="299"/>
      <x:c r="B53" s="3" t="s">
        <x:v>938</x:v>
      </x:c>
      <x:c r="C53" s="3" t="s">
        <x:v>953</x:v>
      </x:c>
      <x:c r="D53" s="4">
        <x:v>1202500</x:v>
      </x:c>
      <x:c r="E53" s="4">
        <x:f>+D53*0.1</x:f>
        <x:v>120250</x:v>
      </x:c>
      <x:c r="F53" s="5">
        <x:f t="shared" si="8"/>
        <x:v>1322750</x:v>
      </x:c>
      <x:c r="G53" s="6"/>
      <x:c r="H53" s="299"/>
      <x:c r="I53" s="162" t="s">
        <x:v>1449</x:v>
      </x:c>
      <x:c r="J53" s="3" t="s">
        <x:v>274</x:v>
      </x:c>
      <x:c r="K53" s="4">
        <x:v>1582300</x:v>
      </x:c>
      <x:c r="L53" s="4">
        <x:f>+K53*0.1</x:f>
        <x:v>158230</x:v>
      </x:c>
      <x:c r="M53" s="5">
        <x:f t="shared" si="7"/>
        <x:v>1740530</x:v>
      </x:c>
      <x:c r="N53" s="6"/>
      <x:c r="V53" s="1"/>
    </x:row>
    <x:row r="54" spans="1:22" s="2" customFormat="1" ht="20.100000000000001" customHeight="1">
      <x:c r="A54" s="299"/>
      <x:c r="B54" s="3" t="s">
        <x:v>864</x:v>
      </x:c>
      <x:c r="C54" s="3" t="s">
        <x:v>496</x:v>
      </x:c>
      <x:c r="D54" s="4">
        <x:v>2783860</x:v>
      </x:c>
      <x:c r="E54" s="4">
        <x:f>+D54*0.1</x:f>
        <x:v>278386</x:v>
      </x:c>
      <x:c r="F54" s="5">
        <x:f t="shared" si="8"/>
        <x:v>3062246</x:v>
      </x:c>
      <x:c r="G54" s="6"/>
      <x:c r="H54" s="299"/>
      <x:c r="I54" s="3"/>
      <x:c r="J54" s="3"/>
      <x:c r="K54" s="4"/>
      <x:c r="L54" s="4">
        <x:f>+INT(K54*0.1)</x:f>
        <x:v>0</x:v>
      </x:c>
      <x:c r="M54" s="5">
        <x:f t="shared" si="7"/>
        <x:v>0</x:v>
      </x:c>
      <x:c r="N54" s="6"/>
      <x:c r="V54" s="1"/>
    </x:row>
    <x:row r="55" spans="1:22" s="2" customFormat="1" ht="20.100000000000001" customHeight="1">
      <x:c r="A55" s="299"/>
      <x:c r="B55" s="3" t="s">
        <x:v>1441</x:v>
      </x:c>
      <x:c r="C55" s="3" t="s">
        <x:v>503</x:v>
      </x:c>
      <x:c r="D55" s="4">
        <x:v>2303700</x:v>
      </x:c>
      <x:c r="E55" s="4">
        <x:f>+INT(D55*0.1)</x:f>
        <x:v>230370</x:v>
      </x:c>
      <x:c r="F55" s="5">
        <x:f t="shared" ref="F55:F62" si="9">+D55+E55</x:f>
        <x:v>2534070</x:v>
      </x:c>
      <x:c r="G55" s="6"/>
      <x:c r="H55" s="299"/>
      <x:c r="I55" s="3"/>
      <x:c r="J55" s="3"/>
      <x:c r="K55" s="4"/>
      <x:c r="L55" s="4"/>
      <x:c r="M55" s="5"/>
      <x:c r="N55" s="6"/>
      <x:c r="V55" s="1"/>
    </x:row>
    <x:row r="56" spans="1:22" s="2" customFormat="1" ht="20.100000000000001" customHeight="1">
      <x:c r="A56" s="299"/>
      <x:c r="B56" s="3"/>
      <x:c r="C56" s="3"/>
      <x:c r="D56" s="4"/>
      <x:c r="E56" s="4">
        <x:f>+INT(D56*0.1)</x:f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 t="shared" ref="L56:L61" si="10">+INT(K56*0.1)</x:f>
        <x:v>0</x:v>
      </x:c>
      <x:c r="M56" s="5">
        <x:f t="shared" ref="M56:M61" si="11">+K56+L56</x:f>
        <x:v>0</x:v>
      </x:c>
      <x:c r="N56" s="6"/>
      <x:c r="V56" s="1"/>
    </x:row>
    <x:row r="57" spans="1:22" s="2" customFormat="1" ht="20.100000000000001" customHeight="1">
      <x:c r="A57" s="299"/>
      <x:c r="B57" s="3"/>
      <x:c r="C57" s="3"/>
      <x:c r="D57" s="4"/>
      <x:c r="E57" s="4">
        <x:f>+D57*0.1</x:f>
        <x:v>0</x:v>
      </x:c>
      <x:c r="F57" s="5">
        <x:f t="shared" si="9"/>
        <x:v>0</x:v>
      </x:c>
      <x:c r="G57" s="6"/>
      <x:c r="H57" s="299"/>
      <x:c r="I57" s="3"/>
      <x:c r="J57" s="3"/>
      <x:c r="K57" s="4"/>
      <x:c r="L57" s="4">
        <x:f t="shared" si="10"/>
        <x:v>0</x:v>
      </x:c>
      <x:c r="M57" s="5">
        <x:f t="shared" si="11"/>
        <x:v>0</x:v>
      </x:c>
      <x:c r="N57" s="6"/>
      <x:c r="V57" s="1"/>
    </x:row>
    <x:row r="58" spans="1:22" s="2" customFormat="1" ht="20.100000000000001" customHeight="1">
      <x:c r="A58" s="299"/>
      <x:c r="B58" s="129"/>
      <x:c r="C58" s="129"/>
      <x:c r="D58" s="4"/>
      <x:c r="E58" s="4">
        <x:f>+D58*0.1</x:f>
        <x:v>0</x:v>
      </x:c>
      <x:c r="F58" s="5">
        <x:f t="shared" si="9"/>
        <x:v>0</x:v>
      </x:c>
      <x:c r="G58" s="6"/>
      <x:c r="H58" s="299"/>
      <x:c r="I58" s="3"/>
      <x:c r="J58" s="3"/>
      <x:c r="K58" s="4"/>
      <x:c r="L58" s="4">
        <x:f t="shared" si="10"/>
        <x:v>0</x:v>
      </x:c>
      <x:c r="M58" s="5">
        <x:f t="shared" si="11"/>
        <x:v>0</x:v>
      </x:c>
      <x:c r="N58" s="6"/>
      <x:c r="V58" s="1"/>
    </x:row>
    <x:row r="59" spans="1:22" s="2" customFormat="1" ht="20.100000000000001" customHeight="1">
      <x:c r="A59" s="299"/>
      <x:c r="B59" s="129"/>
      <x:c r="C59" s="129"/>
      <x:c r="D59" s="130"/>
      <x:c r="E59" s="130">
        <x:f>+INT(D59*0.1)</x:f>
        <x:v>0</x:v>
      </x:c>
      <x:c r="F59" s="5">
        <x:f t="shared" si="9"/>
        <x:v>0</x:v>
      </x:c>
      <x:c r="G59" s="6"/>
      <x:c r="H59" s="299"/>
      <x:c r="I59" s="3"/>
      <x:c r="J59" s="3"/>
      <x:c r="K59" s="4"/>
      <x:c r="L59" s="4">
        <x:f t="shared" si="10"/>
        <x:v>0</x:v>
      </x:c>
      <x:c r="M59" s="5">
        <x:f t="shared" si="11"/>
        <x:v>0</x:v>
      </x:c>
      <x:c r="N59" s="6"/>
      <x:c r="V59" s="1"/>
    </x:row>
    <x:row r="60" spans="1:22" s="2" customFormat="1" ht="20.100000000000001" customHeight="1">
      <x:c r="A60" s="299"/>
      <x:c r="B60" s="3"/>
      <x:c r="C60" s="3"/>
      <x:c r="D60" s="4"/>
      <x:c r="E60" s="4">
        <x:f>+D60*0.1</x:f>
        <x:v>0</x:v>
      </x:c>
      <x:c r="F60" s="131">
        <x:f t="shared" si="9"/>
        <x:v>0</x:v>
      </x:c>
      <x:c r="G60" s="6"/>
      <x:c r="H60" s="299"/>
      <x:c r="I60" s="3"/>
      <x:c r="J60" s="3"/>
      <x:c r="K60" s="4"/>
      <x:c r="L60" s="4">
        <x:f t="shared" si="10"/>
        <x:v>0</x:v>
      </x:c>
      <x:c r="M60" s="5">
        <x:f t="shared" si="11"/>
        <x:v>0</x:v>
      </x:c>
      <x:c r="N60" s="6"/>
      <x:c r="V60" s="1"/>
    </x:row>
    <x:row r="61" spans="1:22" s="2" customFormat="1" ht="20.100000000000001" customHeight="1">
      <x:c r="A61" s="299"/>
      <x:c r="B61" s="3"/>
      <x:c r="C61" s="3"/>
      <x:c r="D61" s="4"/>
      <x:c r="E61" s="4">
        <x:f>+D61*0.1</x:f>
        <x:v>0</x:v>
      </x:c>
      <x:c r="F61" s="5">
        <x:f t="shared" si="9"/>
        <x:v>0</x:v>
      </x:c>
      <x:c r="G61" s="132"/>
      <x:c r="H61" s="299"/>
      <x:c r="I61" s="3"/>
      <x:c r="J61" s="3"/>
      <x:c r="K61" s="4"/>
      <x:c r="L61" s="4">
        <x:f t="shared" si="10"/>
        <x:v>0</x:v>
      </x:c>
      <x:c r="M61" s="5">
        <x:f t="shared" si="11"/>
        <x:v>0</x:v>
      </x:c>
      <x:c r="N61" s="6"/>
      <x:c r="V61" s="1"/>
    </x:row>
    <x:row r="62" spans="1:22" s="2" customFormat="1" ht="20.100000000000001" customHeight="1">
      <x:c r="A62" s="299"/>
      <x:c r="B62" s="129"/>
      <x:c r="C62" s="129"/>
      <x:c r="D62" s="4"/>
      <x:c r="E62" s="4">
        <x:f>+D62*0.1</x:f>
        <x:v>0</x:v>
      </x:c>
      <x:c r="F62" s="5">
        <x:f t="shared" si="9"/>
        <x:v>0</x:v>
      </x:c>
      <x:c r="G62" s="6"/>
      <x:c r="H62" s="300"/>
      <x:c r="I62" s="3"/>
      <x:c r="J62" s="3"/>
      <x:c r="K62" s="4"/>
      <x:c r="L62" s="4"/>
      <x:c r="M62" s="5"/>
      <x:c r="N62" s="6"/>
      <x:c r="V62" s="1"/>
    </x:row>
    <x:row r="63" spans="1:22" s="2" customFormat="1" ht="20.100000000000001" customHeight="1">
      <x:c r="A63" s="7"/>
      <x:c r="B63" s="8"/>
      <x:c r="C63" s="8"/>
      <x:c r="D63" s="9">
        <x:f>SUM(D47:D62)</x:f>
        <x:v>14707828</x:v>
      </x:c>
      <x:c r="E63" s="9">
        <x:f>SUM(E47:E62)</x:f>
        <x:v>1470781.8</x:v>
      </x:c>
      <x:c r="F63" s="10">
        <x:f>SUM(F47:F62)</x:f>
        <x:v>16178609.800000001</x:v>
      </x:c>
      <x:c r="G63" s="11"/>
      <x:c r="H63" s="7" t="s">
        <x:v>155</x:v>
      </x:c>
      <x:c r="I63" s="8"/>
      <x:c r="J63" s="8"/>
      <x:c r="K63" s="9">
        <x:f>SUM(K47:K62)</x:f>
        <x:v>12882390</x:v>
      </x:c>
      <x:c r="L63" s="9">
        <x:f>SUM(L47:L62)</x:f>
        <x:v>1288239</x:v>
      </x:c>
      <x:c r="M63" s="10">
        <x:f>SUM(M47:M62)</x:f>
        <x:v>14170629</x:v>
      </x:c>
      <x:c r="N63" s="11"/>
      <x:c r="V63" s="1"/>
    </x:row>
    <x:row r="64" spans="1:22" s="2" customFormat="1" ht="20.100000000000001" customHeight="1">
      <x:c r="A64" s="301" t="s">
        <x:v>153</x:v>
      </x:c>
      <x:c r="B64" s="3" t="s">
        <x:v>1677</x:v>
      </x:c>
      <x:c r="C64" s="3" t="s">
        <x:v>1437</x:v>
      </x:c>
      <x:c r="D64" s="4">
        <x:v>27960000</x:v>
      </x:c>
      <x:c r="E64" s="4"/>
      <x:c r="F64" s="5">
        <x:f>+D64+E64</x:f>
        <x:v>27960000</x:v>
      </x:c>
      <x:c r="G64" s="6" t="s">
        <x:v>1423</x:v>
      </x:c>
      <x:c r="H64" s="301" t="s">
        <x:v>153</x:v>
      </x:c>
      <x:c r="I64" s="3" t="s">
        <x:v>1677</x:v>
      </x:c>
      <x:c r="J64" s="3" t="s">
        <x:v>1308</x:v>
      </x:c>
      <x:c r="K64" s="44">
        <x:v>21010000</x:v>
      </x:c>
      <x:c r="L64" s="44"/>
      <x:c r="M64" s="45">
        <x:f>+K64+L64</x:f>
        <x:v>21010000</x:v>
      </x:c>
      <x:c r="N64" s="37"/>
      <x:c r="V64" s="1"/>
    </x:row>
    <x:row r="65" spans="1:22" s="2" customFormat="1" ht="20.100000000000001" customHeight="1">
      <x:c r="A65" s="299"/>
      <x:c r="B65" s="3"/>
      <x:c r="C65" s="3"/>
      <x:c r="D65" s="4"/>
      <x:c r="E65" s="4"/>
      <x:c r="F65" s="5">
        <x:f>+D65+E65</x:f>
        <x:v>0</x:v>
      </x:c>
      <x:c r="G65" s="6"/>
      <x:c r="H65" s="299"/>
      <x:c r="I65" s="3" t="s">
        <x:v>960</x:v>
      </x:c>
      <x:c r="J65" s="3" t="s">
        <x:v>950</x:v>
      </x:c>
      <x:c r="K65" s="44"/>
      <x:c r="L65" s="44">
        <x:f>+K65*0.1</x:f>
        <x:v>0</x:v>
      </x:c>
      <x:c r="M65" s="45">
        <x:f>+K65+L65</x:f>
        <x:v>0</x:v>
      </x:c>
      <x:c r="N65" s="37"/>
      <x:c r="V65" s="1"/>
    </x:row>
    <x:row r="66" spans="1:22" s="2" customFormat="1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  <x:c r="V66" s="1"/>
    </x:row>
    <x:row r="67" spans="1:22" s="2" customFormat="1" ht="20.100000000000001" customHeight="1">
      <x:c r="A67" s="300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300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  <x:c r="V67" s="1"/>
    </x:row>
    <x:row r="68" spans="1:22" s="2" customFormat="1" ht="20.100000000000001" customHeight="1">
      <x:c r="A68" s="7"/>
      <x:c r="B68" s="8"/>
      <x:c r="C68" s="8"/>
      <x:c r="D68" s="9">
        <x:f>SUM(D64:D67)</x:f>
        <x:v>27960000</x:v>
      </x:c>
      <x:c r="E68" s="9">
        <x:f>SUM(E64:E67)</x:f>
        <x:v>0</x:v>
      </x:c>
      <x:c r="F68" s="10">
        <x:f>SUM(F64:F67)</x:f>
        <x:v>27960000</x:v>
      </x:c>
      <x:c r="G68" s="11"/>
      <x:c r="H68" s="7" t="s">
        <x:v>155</x:v>
      </x:c>
      <x:c r="I68" s="8"/>
      <x:c r="J68" s="8"/>
      <x:c r="K68" s="9">
        <x:f>SUM(K64:K67)</x:f>
        <x:v>21010000</x:v>
      </x:c>
      <x:c r="L68" s="9">
        <x:f>SUM(L64:L67)</x:f>
        <x:v>0</x:v>
      </x:c>
      <x:c r="M68" s="10">
        <x:f>SUM(M64:M67)</x:f>
        <x:v>21010000</x:v>
      </x:c>
      <x:c r="N68" s="11"/>
      <x:c r="V68" s="1"/>
    </x:row>
    <x:row r="69" spans="1:22" s="2" customFormat="1" ht="20.100000000000001" customHeight="1">
      <x:c r="A69" s="301" t="s">
        <x:v>187</x:v>
      </x:c>
      <x:c r="B69" s="3" t="s">
        <x:v>1124</x:v>
      </x:c>
      <x:c r="C69" s="3" t="s">
        <x:v>1006</x:v>
      </x:c>
      <x:c r="D69" s="4">
        <x:v>480000</x:v>
      </x:c>
      <x:c r="E69" s="4">
        <x:f>+D69*0.1</x:f>
        <x:v>48000</x:v>
      </x:c>
      <x:c r="F69" s="5">
        <x:f>+D69+E69</x:f>
        <x:v>528000</x:v>
      </x:c>
      <x:c r="G69" s="6"/>
      <x:c r="H69" s="301" t="s">
        <x:v>187</x:v>
      </x:c>
      <x:c r="I69" s="3"/>
      <x:c r="J69" s="3"/>
      <x:c r="K69" s="4"/>
      <x:c r="L69" s="4">
        <x:f>+K69*0.1</x:f>
        <x:v>0</x:v>
      </x:c>
      <x:c r="M69" s="5">
        <x:f>+K69+L69</x:f>
        <x:v>0</x:v>
      </x:c>
      <x:c r="N69" s="6"/>
      <x:c r="V69" s="1"/>
    </x:row>
    <x:row r="70" spans="1:22" s="2" customFormat="1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  <x:c r="V70" s="1"/>
    </x:row>
    <x:row r="71" spans="1:22" s="2" customFormat="1" ht="20.100000000000001" customHeight="1">
      <x:c r="A71" s="299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299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  <x:c r="V71" s="1"/>
    </x:row>
    <x:row r="72" spans="1:22" s="2" customFormat="1" ht="20.100000000000001" customHeight="1">
      <x:c r="A72" s="300"/>
      <x:c r="B72" s="3"/>
      <x:c r="C72" s="3"/>
      <x:c r="D72" s="4"/>
      <x:c r="E72" s="4">
        <x:f>+D72*0.1</x:f>
        <x:v>0</x:v>
      </x:c>
      <x:c r="F72" s="5">
        <x:f>+D72+E72</x:f>
        <x:v>0</x:v>
      </x:c>
      <x:c r="G72" s="6"/>
      <x:c r="H72" s="300"/>
      <x:c r="I72" s="3"/>
      <x:c r="J72" s="3"/>
      <x:c r="K72" s="4"/>
      <x:c r="L72" s="4">
        <x:f>+K72*0.1</x:f>
        <x:v>0</x:v>
      </x:c>
      <x:c r="M72" s="5">
        <x:f>+K72+L72</x:f>
        <x:v>0</x:v>
      </x:c>
      <x:c r="N72" s="6"/>
      <x:c r="V72" s="1"/>
    </x:row>
    <x:row r="73" spans="1:22" s="2" customFormat="1" ht="20.100000000000001" customHeight="1">
      <x:c r="A73" s="7"/>
      <x:c r="B73" s="8"/>
      <x:c r="C73" s="8"/>
      <x:c r="D73" s="9">
        <x:f>SUM(D69:D72)</x:f>
        <x:v>480000</x:v>
      </x:c>
      <x:c r="E73" s="9">
        <x:f>SUM(E69:E72)</x:f>
        <x:v>48000</x:v>
      </x:c>
      <x:c r="F73" s="10">
        <x:f>SUM(F69:F72)</x:f>
        <x:v>528000</x:v>
      </x:c>
      <x:c r="G73" s="11"/>
      <x:c r="H73" s="7" t="s">
        <x:v>155</x:v>
      </x:c>
      <x:c r="I73" s="8"/>
      <x:c r="J73" s="8"/>
      <x:c r="K73" s="9">
        <x:f>SUM(K69:K72)</x:f>
        <x:v>0</x:v>
      </x:c>
      <x:c r="L73" s="9">
        <x:f>SUM(L69:L72)</x:f>
        <x:v>0</x:v>
      </x:c>
      <x:c r="M73" s="10">
        <x:f>SUM(M69:M72)</x:f>
        <x:v>0</x:v>
      </x:c>
      <x:c r="N73" s="11"/>
      <x:c r="V73" s="1"/>
    </x:row>
    <x:row r="74" spans="1:22" s="2" customFormat="1" ht="20.100000000000001" customHeight="1">
      <x:c r="A74" s="301" t="s">
        <x:v>149</x:v>
      </x:c>
      <x:c r="B74" s="3" t="s">
        <x:v>283</x:v>
      </x:c>
      <x:c r="C74" s="3" t="s">
        <x:v>149</x:v>
      </x:c>
      <x:c r="D74" s="4">
        <x:v>1227502</x:v>
      </x:c>
      <x:c r="E74" s="4"/>
      <x:c r="F74" s="5">
        <x:f t="shared" ref="F74:F80" si="12">+D74+E74</x:f>
        <x:v>1227502</x:v>
      </x:c>
      <x:c r="G74" s="6"/>
      <x:c r="H74" s="301" t="s">
        <x:v>149</x:v>
      </x:c>
      <x:c r="I74" s="3" t="s">
        <x:v>248</x:v>
      </x:c>
      <x:c r="J74" s="3" t="s">
        <x:v>492</x:v>
      </x:c>
      <x:c r="K74" s="4">
        <x:v>851670</x:v>
      </x:c>
      <x:c r="L74" s="4"/>
      <x:c r="M74" s="5">
        <x:f>+K74+L74</x:f>
        <x:v>851670</x:v>
      </x:c>
      <x:c r="N74" s="6"/>
      <x:c r="V74" s="1"/>
    </x:row>
    <x:row r="75" spans="1:22" s="2" customFormat="1" ht="20.100000000000001" customHeight="1">
      <x:c r="A75" s="299"/>
      <x:c r="B75" s="3" t="s">
        <x:v>158</x:v>
      </x:c>
      <x:c r="C75" s="3" t="s">
        <x:v>149</x:v>
      </x:c>
      <x:c r="D75" s="4">
        <x:v>200000</x:v>
      </x:c>
      <x:c r="E75" s="4"/>
      <x:c r="F75" s="5">
        <x:f>+D75+E75</x:f>
        <x:v>200000</x:v>
      </x:c>
      <x:c r="G75" s="6"/>
      <x:c r="H75" s="299"/>
      <x:c r="I75" s="3" t="s">
        <x:v>248</x:v>
      </x:c>
      <x:c r="J75" s="3" t="s">
        <x:v>1312</x:v>
      </x:c>
      <x:c r="K75" s="4"/>
      <x:c r="L75" s="4"/>
      <x:c r="M75" s="5">
        <x:f>+K75+L75</x:f>
        <x:v>0</x:v>
      </x:c>
      <x:c r="N75" s="6"/>
      <x:c r="V75" s="1"/>
    </x:row>
    <x:row r="76" spans="1:22" s="2" customFormat="1" ht="20.100000000000001" customHeight="1">
      <x:c r="A76" s="299"/>
      <x:c r="B76" s="3" t="s">
        <x:v>883</x:v>
      </x:c>
      <x:c r="C76" s="3" t="s">
        <x:v>1417</x:v>
      </x:c>
      <x:c r="D76" s="4">
        <x:v>660000</x:v>
      </x:c>
      <x:c r="E76" s="4">
        <x:f>+D76*0.1</x:f>
        <x:v>66000</x:v>
      </x:c>
      <x:c r="F76" s="5">
        <x:f t="shared" si="12"/>
        <x:v>726000</x:v>
      </x:c>
      <x:c r="G76" s="6" t="s">
        <x:v>497</x:v>
      </x:c>
      <x:c r="H76" s="299"/>
      <x:c r="I76" s="3" t="s">
        <x:v>284</x:v>
      </x:c>
      <x:c r="J76" s="3" t="s">
        <x:v>149</x:v>
      </x:c>
      <x:c r="K76" s="4">
        <x:v>341640</x:v>
      </x:c>
      <x:c r="L76" s="4"/>
      <x:c r="M76" s="5">
        <x:f t="shared" ref="M76:M83" si="13">+K76+L76</x:f>
        <x:v>341640</x:v>
      </x:c>
      <x:c r="N76" s="6"/>
      <x:c r="V76" s="1"/>
    </x:row>
    <x:row r="77" spans="1:22" s="2" customFormat="1" ht="20.100000000000001" customHeight="1">
      <x:c r="A77" s="299"/>
      <x:c r="B77" s="3" t="s">
        <x:v>247</x:v>
      </x:c>
      <x:c r="C77" s="3" t="s">
        <x:v>231</x:v>
      </x:c>
      <x:c r="D77" s="4">
        <x:v>21000</x:v>
      </x:c>
      <x:c r="E77" s="4">
        <x:f>+D77*0.1</x:f>
        <x:v>2100</x:v>
      </x:c>
      <x:c r="F77" s="5">
        <x:f t="shared" si="12"/>
        <x:v>23100</x:v>
      </x:c>
      <x:c r="G77" s="6"/>
      <x:c r="H77" s="299"/>
      <x:c r="I77" s="3" t="s">
        <x:v>249</x:v>
      </x:c>
      <x:c r="J77" s="3" t="s">
        <x:v>608</x:v>
      </x:c>
      <x:c r="K77" s="4">
        <x:v>550000</x:v>
      </x:c>
      <x:c r="L77" s="4"/>
      <x:c r="M77" s="5">
        <x:f t="shared" si="13"/>
        <x:v>550000</x:v>
      </x:c>
      <x:c r="N77" s="6"/>
      <x:c r="V77" s="1"/>
    </x:row>
    <x:row r="78" spans="1:22" s="2" customFormat="1" ht="20.100000000000001" customHeight="1">
      <x:c r="A78" s="299"/>
      <x:c r="B78" s="3" t="s">
        <x:v>1169</x:v>
      </x:c>
      <x:c r="C78" s="3" t="s">
        <x:v>1398</x:v>
      </x:c>
      <x:c r="D78" s="4">
        <x:v>600000</x:v>
      </x:c>
      <x:c r="E78" s="4">
        <x:f>+D78*0.1</x:f>
        <x:v>60000</x:v>
      </x:c>
      <x:c r="F78" s="5">
        <x:f t="shared" si="12"/>
        <x:v>660000</x:v>
      </x:c>
      <x:c r="G78" s="6"/>
      <x:c r="H78" s="299"/>
      <x:c r="I78" s="3" t="s">
        <x:v>947</x:v>
      </x:c>
      <x:c r="J78" s="3" t="s">
        <x:v>914</x:v>
      </x:c>
      <x:c r="K78" s="4">
        <x:v>100000</x:v>
      </x:c>
      <x:c r="L78" s="4">
        <x:f>+K78*0.1</x:f>
        <x:v>10000</x:v>
      </x:c>
      <x:c r="M78" s="5">
        <x:f t="shared" si="13"/>
        <x:v>110000</x:v>
      </x:c>
      <x:c r="N78" s="6"/>
      <x:c r="V78" s="1"/>
    </x:row>
    <x:row r="79" spans="1:22" s="2" customFormat="1" ht="20.100000000000001" customHeight="1">
      <x:c r="A79" s="299"/>
      <x:c r="B79" s="3" t="s">
        <x:v>1169</x:v>
      </x:c>
      <x:c r="C79" s="3" t="s">
        <x:v>1398</x:v>
      </x:c>
      <x:c r="D79" s="4">
        <x:v>500000</x:v>
      </x:c>
      <x:c r="E79" s="4">
        <x:f>+D79*0.1</x:f>
        <x:v>50000</x:v>
      </x:c>
      <x:c r="F79" s="5">
        <x:f t="shared" si="12"/>
        <x:v>550000</x:v>
      </x:c>
      <x:c r="G79" s="6"/>
      <x:c r="H79" s="299"/>
      <x:c r="I79" s="3" t="s">
        <x:v>1340</x:v>
      </x:c>
      <x:c r="J79" s="3" t="s">
        <x:v>28</x:v>
      </x:c>
      <x:c r="K79" s="4">
        <x:v>856000</x:v>
      </x:c>
      <x:c r="L79" s="4">
        <x:f>+K79*0.1</x:f>
        <x:v>85600</x:v>
      </x:c>
      <x:c r="M79" s="5">
        <x:f t="shared" si="13"/>
        <x:v>941600</x:v>
      </x:c>
      <x:c r="N79" s="6"/>
      <x:c r="V79" s="1"/>
    </x:row>
    <x:row r="80" spans="1:22" s="2" customFormat="1" ht="20.100000000000001" customHeight="1">
      <x:c r="A80" s="299"/>
      <x:c r="B80" s="3"/>
      <x:c r="C80" s="3"/>
      <x:c r="D80" s="4"/>
      <x:c r="E80" s="4"/>
      <x:c r="F80" s="5">
        <x:f t="shared" si="12"/>
        <x:v>0</x:v>
      </x:c>
      <x:c r="G80" s="6"/>
      <x:c r="H80" s="299"/>
      <x:c r="I80" s="3" t="s">
        <x:v>247</x:v>
      </x:c>
      <x:c r="J80" s="3" t="s">
        <x:v>231</x:v>
      </x:c>
      <x:c r="K80" s="4">
        <x:f>21000+6209</x:f>
        <x:v>27209</x:v>
      </x:c>
      <x:c r="L80" s="4">
        <x:f>+K80*0.1-1</x:f>
        <x:v>2719.9000000000001</x:v>
      </x:c>
      <x:c r="M80" s="5">
        <x:f t="shared" si="13"/>
        <x:v>29928.900000000001</x:v>
      </x:c>
      <x:c r="N80" s="6" t="s">
        <x:v>1451</x:v>
      </x:c>
      <x:c r="V80" s="1"/>
    </x:row>
    <x:row r="81" spans="1:22" s="2" customFormat="1" ht="20.100000000000001" customHeight="1">
      <x:c r="A81" s="299"/>
      <x:c r="B81" s="3"/>
      <x:c r="C81" s="3"/>
      <x:c r="D81" s="4"/>
      <x:c r="E81" s="4"/>
      <x:c r="F81" s="5">
        <x:f>+D81+E81</x:f>
        <x:v>0</x:v>
      </x:c>
      <x:c r="G81" s="6"/>
      <x:c r="H81" s="299"/>
      <x:c r="I81" s="3" t="s">
        <x:v>926</x:v>
      </x:c>
      <x:c r="J81" s="3" t="s">
        <x:v>404</x:v>
      </x:c>
      <x:c r="K81" s="4">
        <x:v>385340</x:v>
      </x:c>
      <x:c r="L81" s="4"/>
      <x:c r="M81" s="5">
        <x:f t="shared" si="13"/>
        <x:v>385340</x:v>
      </x:c>
      <x:c r="N81" s="6"/>
      <x:c r="V81" s="1"/>
    </x:row>
    <x:row r="82" spans="1:22" s="2" customFormat="1" ht="20.100000000000001" customHeight="1">
      <x:c r="A82" s="299"/>
      <x:c r="B82" s="3"/>
      <x:c r="C82" s="3"/>
      <x:c r="D82" s="4"/>
      <x:c r="E82" s="4"/>
      <x:c r="F82" s="5">
        <x:f>+D82+E82</x:f>
        <x:v>0</x:v>
      </x:c>
      <x:c r="G82" s="6"/>
      <x:c r="H82" s="299"/>
      <x:c r="I82" s="3" t="s">
        <x:v>1169</x:v>
      </x:c>
      <x:c r="J82" s="3" t="s">
        <x:v>505</x:v>
      </x:c>
      <x:c r="K82" s="4">
        <x:v>200000</x:v>
      </x:c>
      <x:c r="L82" s="4">
        <x:f>+K82*0.1</x:f>
        <x:v>20000</x:v>
      </x:c>
      <x:c r="M82" s="5">
        <x:f t="shared" si="13"/>
        <x:v>220000</x:v>
      </x:c>
      <x:c r="N82" s="6"/>
      <x:c r="V82" s="1"/>
    </x:row>
    <x:row r="83" spans="1:22" s="2" customFormat="1" ht="20.100000000000001" customHeight="1">
      <x:c r="A83" s="300"/>
      <x:c r="B83" s="3"/>
      <x:c r="C83" s="3"/>
      <x:c r="D83" s="4"/>
      <x:c r="E83" s="4"/>
      <x:c r="F83" s="5">
        <x:f>+D83+E83</x:f>
        <x:v>0</x:v>
      </x:c>
      <x:c r="G83" s="6"/>
      <x:c r="H83" s="300"/>
      <x:c r="I83" s="3"/>
      <x:c r="J83" s="3"/>
      <x:c r="K83" s="4"/>
      <x:c r="L83" s="4"/>
      <x:c r="M83" s="5">
        <x:f t="shared" si="13"/>
        <x:v>0</x:v>
      </x:c>
      <x:c r="N83" s="6"/>
      <x:c r="V83" s="1"/>
    </x:row>
    <x:row r="84" spans="1:22" s="2" customFormat="1" ht="20.100000000000001" customHeight="1">
      <x:c r="A84" s="7"/>
      <x:c r="B84" s="8"/>
      <x:c r="C84" s="8"/>
      <x:c r="D84" s="9">
        <x:f>SUM(D74:D83)</x:f>
        <x:v>3208502</x:v>
      </x:c>
      <x:c r="E84" s="9">
        <x:f>SUM(E74:E83)</x:f>
        <x:v>178100</x:v>
      </x:c>
      <x:c r="F84" s="10">
        <x:f>SUM(F74:F83)</x:f>
        <x:v>3386602</x:v>
      </x:c>
      <x:c r="G84" s="11"/>
      <x:c r="H84" s="7" t="s">
        <x:v>155</x:v>
      </x:c>
      <x:c r="I84" s="8"/>
      <x:c r="J84" s="8"/>
      <x:c r="K84" s="9">
        <x:f>SUM(K74:K83)</x:f>
        <x:v>3311859</x:v>
      </x:c>
      <x:c r="L84" s="9">
        <x:f>SUM(L74:L83)</x:f>
        <x:v>118319.89999999999</x:v>
      </x:c>
      <x:c r="M84" s="10">
        <x:f>SUM(M74:M83)</x:f>
        <x:v>3430178.8999999999</x:v>
      </x:c>
      <x:c r="N84" s="11"/>
      <x:c r="V84" s="1"/>
    </x:row>
    <x:row r="85" spans="1:22" s="2" customFormat="1" ht="20.100000000000001" customHeight="1">
      <x:c r="A85" s="12" t="s">
        <x:v>1690</x:v>
      </x:c>
      <x:c r="B85" s="13"/>
      <x:c r="C85" s="13"/>
      <x:c r="D85" s="14">
        <x:f>+D63+D68+D73+D84</x:f>
        <x:v>46356330</x:v>
      </x:c>
      <x:c r="E85" s="14">
        <x:f>+E63+E68+E73+E84</x:f>
        <x:v>1696881.8</x:v>
      </x:c>
      <x:c r="F85" s="15">
        <x:f>+F63+F68+F73+F84</x:f>
        <x:v>48053211.799999997</x:v>
      </x:c>
      <x:c r="G85" s="16"/>
      <x:c r="H85" s="12" t="s">
        <x:v>1690</x:v>
      </x:c>
      <x:c r="I85" s="13"/>
      <x:c r="J85" s="13"/>
      <x:c r="K85" s="14">
        <x:f>+K63+K68+K73+K84</x:f>
        <x:v>37204249</x:v>
      </x:c>
      <x:c r="L85" s="14">
        <x:f>+L63+L68+L73+L84</x:f>
        <x:v>1406558.8999999999</x:v>
      </x:c>
      <x:c r="M85" s="15">
        <x:f>+M63+M68+M73+M84</x:f>
        <x:v>38610807.899999999</x:v>
      </x:c>
      <x:c r="N85" s="16"/>
      <x:c r="V85" s="1"/>
    </x:row>
    <x:row r="86" spans="1:22" s="2" customFormat="1" ht="20.100000000000001" customHeight="1">
      <x:c r="A86" s="23" t="s">
        <x:v>35</x:v>
      </x:c>
      <x:c r="B86" s="24"/>
      <x:c r="C86" s="24"/>
      <x:c r="D86" s="25">
        <x:f>+D46-D85</x:f>
        <x:v>-46356330</x:v>
      </x:c>
      <x:c r="E86" s="25">
        <x:f>+E46-E85</x:f>
        <x:v>-1696881.8</x:v>
      </x:c>
      <x:c r="F86" s="26">
        <x:f>+F46-F85</x:f>
        <x:v>-48053211.799999997</x:v>
      </x:c>
      <x:c r="G86" s="27"/>
      <x:c r="H86" s="23" t="s">
        <x:v>35</x:v>
      </x:c>
      <x:c r="I86" s="24"/>
      <x:c r="J86" s="24"/>
      <x:c r="K86" s="25">
        <x:f>+K46-K85</x:f>
        <x:v>16165751</x:v>
      </x:c>
      <x:c r="L86" s="25">
        <x:f>+L46-L85</x:f>
        <x:v>3930441.1000000001</x:v>
      </x:c>
      <x:c r="M86" s="26">
        <x:f>+M46-M85</x:f>
        <x:v>20096192.100000001</x:v>
      </x:c>
      <x:c r="N86" s="27"/>
      <x:c r="V86" s="1"/>
    </x:row>
    <x:row r="87" spans="1:22" s="2" customFormat="1" ht="20.100000000000001" customHeight="1">
      <x:c r="A87" s="302" t="s">
        <x:v>415</x:v>
      </x:c>
      <x:c r="B87" s="303"/>
      <x:c r="C87" s="303"/>
      <x:c r="D87" s="303"/>
      <x:c r="E87" s="303"/>
      <x:c r="F87" s="304"/>
      <x:c r="G87" s="305"/>
      <x:c r="H87" s="302" t="s">
        <x:v>466</x:v>
      </x:c>
      <x:c r="I87" s="303"/>
      <x:c r="J87" s="303"/>
      <x:c r="K87" s="303"/>
      <x:c r="L87" s="303"/>
      <x:c r="M87" s="304"/>
      <x:c r="N87" s="305"/>
      <x:c r="V87" s="1"/>
    </x:row>
    <x:row r="88" spans="1:22" s="2" customFormat="1" ht="20.100000000000001" customHeight="1">
      <x:c r="A88" s="29" t="s">
        <x:v>147</x:v>
      </x:c>
      <x:c r="B88" s="197" t="s">
        <x:v>144</x:v>
      </x:c>
      <x:c r="C88" s="197" t="s">
        <x:v>150</x:v>
      </x:c>
      <x:c r="D88" s="31" t="s">
        <x:v>145</x:v>
      </x:c>
      <x:c r="E88" s="31" t="s">
        <x:v>152</x:v>
      </x:c>
      <x:c r="F88" s="31" t="s">
        <x:v>146</x:v>
      </x:c>
      <x:c r="G88" s="34" t="s">
        <x:v>154</x:v>
      </x:c>
      <x:c r="H88" s="29" t="s">
        <x:v>147</x:v>
      </x:c>
      <x:c r="I88" s="197" t="s">
        <x:v>144</x:v>
      </x:c>
      <x:c r="J88" s="197" t="s">
        <x:v>150</x:v>
      </x:c>
      <x:c r="K88" s="31" t="s">
        <x:v>145</x:v>
      </x:c>
      <x:c r="L88" s="31" t="s">
        <x:v>152</x:v>
      </x:c>
      <x:c r="M88" s="32" t="s">
        <x:v>146</x:v>
      </x:c>
      <x:c r="N88" s="33" t="s">
        <x:v>154</x:v>
      </x:c>
      <x:c r="V88" s="1"/>
    </x:row>
    <x:row r="89" spans="1:22" s="2" customFormat="1" ht="20.100000000000001" customHeight="1">
      <x:c r="A89" s="41" t="s">
        <x:v>151</x:v>
      </x:c>
      <x:c r="B89" s="38" t="s">
        <x:v>1679</x:v>
      </x:c>
      <x:c r="C89" s="38" t="s">
        <x:v>791</x:v>
      </x:c>
      <x:c r="D89" s="39">
        <x:v>30000000</x:v>
      </x:c>
      <x:c r="E89" s="39">
        <x:f>+D89*0.1</x:f>
        <x:v>3000000</x:v>
      </x:c>
      <x:c r="F89" s="40">
        <x:f>+D89+E89</x:f>
        <x:v>33000000</x:v>
      </x:c>
      <x:c r="G89" s="42"/>
      <x:c r="H89" s="196" t="s">
        <x:v>151</x:v>
      </x:c>
      <x:c r="I89" s="38" t="s">
        <x:v>1679</x:v>
      </x:c>
      <x:c r="J89" s="38" t="s">
        <x:v>791</x:v>
      </x:c>
      <x:c r="K89" s="39">
        <x:v>13000000</x:v>
      </x:c>
      <x:c r="L89" s="39">
        <x:f>+K89*0.1</x:f>
        <x:v>1300000</x:v>
      </x:c>
      <x:c r="M89" s="40">
        <x:f t="shared" ref="M89:M97" si="14">+K89+L89</x:f>
        <x:v>14300000</x:v>
      </x:c>
      <x:c r="N89" s="18"/>
      <x:c r="V89" s="1"/>
    </x:row>
    <x:row r="90" spans="1:22" s="2" customFormat="1" ht="20.100000000000001" customHeight="1">
      <x:c r="A90" s="298" t="s">
        <x:v>148</x:v>
      </x:c>
      <x:c r="B90" s="19" t="s">
        <x:v>867</x:v>
      </x:c>
      <x:c r="C90" s="54" t="s">
        <x:v>374</x:v>
      </x:c>
      <x:c r="D90" s="20">
        <x:v>4965000</x:v>
      </x:c>
      <x:c r="E90" s="20">
        <x:f>+D90*0.1</x:f>
        <x:v>496500</x:v>
      </x:c>
      <x:c r="F90" s="21">
        <x:f t="shared" ref="F90:F96" si="15">+D90+E90</x:f>
        <x:v>5461500</x:v>
      </x:c>
      <x:c r="G90" s="22"/>
      <x:c r="H90" s="298" t="s">
        <x:v>148</x:v>
      </x:c>
      <x:c r="I90" s="54" t="s">
        <x:v>867</x:v>
      </x:c>
      <x:c r="J90" s="54" t="s">
        <x:v>369</x:v>
      </x:c>
      <x:c r="K90" s="93">
        <x:v>5388000</x:v>
      </x:c>
      <x:c r="L90" s="93">
        <x:f>+K90*0.1</x:f>
        <x:v>538800</x:v>
      </x:c>
      <x:c r="M90" s="94">
        <x:f t="shared" si="14"/>
        <x:v>5926800</x:v>
      </x:c>
      <x:c r="N90" s="95"/>
      <x:c r="V90" s="1"/>
    </x:row>
    <x:row r="91" spans="1:22" s="2" customFormat="1" ht="20.100000000000001" customHeight="1">
      <x:c r="A91" s="299"/>
      <x:c r="B91" s="3" t="s">
        <x:v>976</x:v>
      </x:c>
      <x:c r="C91" s="3"/>
      <x:c r="D91" s="4"/>
      <x:c r="E91" s="4"/>
      <x:c r="F91" s="5">
        <x:f t="shared" si="15"/>
        <x:v>0</x:v>
      </x:c>
      <x:c r="G91" s="6"/>
      <x:c r="H91" s="299"/>
      <x:c r="I91" s="162" t="s">
        <x:v>1348</x:v>
      </x:c>
      <x:c r="J91" s="162"/>
      <x:c r="K91" s="163"/>
      <x:c r="L91" s="163"/>
      <x:c r="M91" s="164">
        <x:f t="shared" si="14"/>
        <x:v>0</x:v>
      </x:c>
      <x:c r="N91" s="158"/>
      <x:c r="V91" s="1"/>
    </x:row>
    <x:row r="92" spans="1:22" s="2" customFormat="1" ht="20.100000000000001" customHeight="1">
      <x:c r="A92" s="299"/>
      <x:c r="B92" s="3" t="s">
        <x:v>1348</x:v>
      </x:c>
      <x:c r="C92" s="3" t="s">
        <x:v>1414</x:v>
      </x:c>
      <x:c r="D92" s="4">
        <x:v>217400</x:v>
      </x:c>
      <x:c r="E92" s="4">
        <x:f>+D92*0.1</x:f>
        <x:v>21740</x:v>
      </x:c>
      <x:c r="F92" s="5">
        <x:f t="shared" si="15"/>
        <x:v>239140</x:v>
      </x:c>
      <x:c r="G92" s="6"/>
      <x:c r="H92" s="299"/>
      <x:c r="I92" s="3" t="s">
        <x:v>902</x:v>
      </x:c>
      <x:c r="J92" s="3" t="s">
        <x:v>1116</x:v>
      </x:c>
      <x:c r="K92" s="4">
        <x:v>2872652</x:v>
      </x:c>
      <x:c r="L92" s="4">
        <x:f>+K92*0.1</x:f>
        <x:v>287265.20000000001</x:v>
      </x:c>
      <x:c r="M92" s="5">
        <x:f t="shared" si="14"/>
        <x:v>3159917.2000000002</x:v>
      </x:c>
      <x:c r="N92" s="6"/>
      <x:c r="V92" s="1"/>
    </x:row>
    <x:row r="93" spans="1:22" s="2" customFormat="1" ht="20.100000000000001" customHeight="1">
      <x:c r="A93" s="299"/>
      <x:c r="B93" s="3" t="s">
        <x:v>938</x:v>
      </x:c>
      <x:c r="C93" s="3"/>
      <x:c r="D93" s="4"/>
      <x:c r="E93" s="4"/>
      <x:c r="F93" s="5">
        <x:f t="shared" si="15"/>
        <x:v>0</x:v>
      </x:c>
      <x:c r="G93" s="6"/>
      <x:c r="H93" s="299"/>
      <x:c r="I93" s="3" t="s">
        <x:v>938</x:v>
      </x:c>
      <x:c r="J93" s="3"/>
      <x:c r="K93" s="4"/>
      <x:c r="L93" s="4"/>
      <x:c r="M93" s="5">
        <x:f t="shared" si="14"/>
        <x:v>0</x:v>
      </x:c>
      <x:c r="N93" s="6"/>
      <x:c r="V93" s="1"/>
    </x:row>
    <x:row r="94" spans="1:22" s="2" customFormat="1" ht="20.100000000000001" customHeight="1">
      <x:c r="A94" s="299"/>
      <x:c r="B94" s="3" t="s">
        <x:v>838</x:v>
      </x:c>
      <x:c r="C94" s="3" t="s">
        <x:v>761</x:v>
      </x:c>
      <x:c r="D94" s="4">
        <x:v>55000</x:v>
      </x:c>
      <x:c r="E94" s="4">
        <x:f>+D94*0.1</x:f>
        <x:v>5500</x:v>
      </x:c>
      <x:c r="F94" s="5">
        <x:f t="shared" si="15"/>
        <x:v>60500</x:v>
      </x:c>
      <x:c r="G94" s="6"/>
      <x:c r="H94" s="299"/>
      <x:c r="I94" s="3" t="s">
        <x:v>976</x:v>
      </x:c>
      <x:c r="J94" s="3" t="s">
        <x:v>685</x:v>
      </x:c>
      <x:c r="K94" s="4">
        <x:v>2020000</x:v>
      </x:c>
      <x:c r="L94" s="4">
        <x:f>+K94*0.1</x:f>
        <x:v>202000</x:v>
      </x:c>
      <x:c r="M94" s="5">
        <x:f t="shared" si="14"/>
        <x:v>2222000</x:v>
      </x:c>
      <x:c r="N94" s="6"/>
      <x:c r="V94" s="1"/>
    </x:row>
    <x:row r="95" spans="1:22" s="2" customFormat="1" ht="20.100000000000001" customHeight="1">
      <x:c r="A95" s="299"/>
      <x:c r="B95" s="3" t="s">
        <x:v>1378</x:v>
      </x:c>
      <x:c r="C95" s="3" t="s">
        <x:v>1392</x:v>
      </x:c>
      <x:c r="D95" s="4">
        <x:v>85600</x:v>
      </x:c>
      <x:c r="E95" s="4">
        <x:f>+D95*0.1</x:f>
        <x:v>8560</x:v>
      </x:c>
      <x:c r="F95" s="5">
        <x:f t="shared" si="15"/>
        <x:v>94160</x:v>
      </x:c>
      <x:c r="G95" s="6"/>
      <x:c r="H95" s="299"/>
      <x:c r="I95" s="3" t="s">
        <x:v>483</x:v>
      </x:c>
      <x:c r="J95" s="3" t="s">
        <x:v>493</x:v>
      </x:c>
      <x:c r="K95" s="4">
        <x:v>348000</x:v>
      </x:c>
      <x:c r="L95" s="4">
        <x:f>+K95*0.1</x:f>
        <x:v>34800</x:v>
      </x:c>
      <x:c r="M95" s="5">
        <x:f t="shared" si="14"/>
        <x:v>382800</x:v>
      </x:c>
      <x:c r="N95" s="6"/>
      <x:c r="V95" s="1"/>
    </x:row>
    <x:row r="96" spans="1:22" s="2" customFormat="1" ht="20.100000000000001" customHeight="1">
      <x:c r="A96" s="299"/>
      <x:c r="B96" s="3" t="s">
        <x:v>846</x:v>
      </x:c>
      <x:c r="C96" s="3" t="s">
        <x:v>1411</x:v>
      </x:c>
      <x:c r="D96" s="4">
        <x:v>547000</x:v>
      </x:c>
      <x:c r="E96" s="4">
        <x:f>+D96*0.1</x:f>
        <x:v>54700</x:v>
      </x:c>
      <x:c r="F96" s="5">
        <x:f t="shared" si="15"/>
        <x:v>601700</x:v>
      </x:c>
      <x:c r="G96" s="6"/>
      <x:c r="H96" s="299"/>
      <x:c r="I96" s="3" t="s">
        <x:v>1378</x:v>
      </x:c>
      <x:c r="J96" s="3" t="s">
        <x:v>1392</x:v>
      </x:c>
      <x:c r="K96" s="4">
        <x:v>317400</x:v>
      </x:c>
      <x:c r="L96" s="4">
        <x:f>+INT(K96*0.1)</x:f>
        <x:v>31740</x:v>
      </x:c>
      <x:c r="M96" s="5">
        <x:f t="shared" si="14"/>
        <x:v>349140</x:v>
      </x:c>
      <x:c r="N96" s="6"/>
      <x:c r="V96" s="1"/>
    </x:row>
    <x:row r="97" spans="1:22" s="2" customFormat="1" ht="20.100000000000001" customHeight="1">
      <x:c r="A97" s="299"/>
      <x:c r="B97" s="3" t="s">
        <x:v>1119</x:v>
      </x:c>
      <x:c r="C97" s="3" t="s">
        <x:v>498</x:v>
      </x:c>
      <x:c r="D97" s="4">
        <x:v>367400</x:v>
      </x:c>
      <x:c r="E97" s="4">
        <x:f>+D97*0.1</x:f>
        <x:v>36740</x:v>
      </x:c>
      <x:c r="F97" s="5">
        <x:f>+D97+E97</x:f>
        <x:v>404140</x:v>
      </x:c>
      <x:c r="G97" s="6"/>
      <x:c r="H97" s="299"/>
      <x:c r="I97" s="3" t="s">
        <x:v>846</x:v>
      </x:c>
      <x:c r="J97" s="3" t="s">
        <x:v>1409</x:v>
      </x:c>
      <x:c r="K97" s="4">
        <x:v>1323864</x:v>
      </x:c>
      <x:c r="L97" s="4">
        <x:f>+INT(K97*0.1)-1</x:f>
        <x:v>132385</x:v>
      </x:c>
      <x:c r="M97" s="5">
        <x:f t="shared" si="14"/>
        <x:v>1456249</x:v>
      </x:c>
      <x:c r="N97" s="6"/>
      <x:c r="V97" s="1"/>
    </x:row>
    <x:row r="98" spans="1:22" s="2" customFormat="1" ht="20.100000000000001" customHeight="1">
      <x:c r="A98" s="299"/>
      <x:c r="B98" s="3"/>
      <x:c r="C98" s="3"/>
      <x:c r="D98" s="4"/>
      <x:c r="E98" s="4"/>
      <x:c r="F98" s="5">
        <x:f t="shared" ref="F98:F105" si="16">+D98+E98</x:f>
        <x:v>0</x:v>
      </x:c>
      <x:c r="G98" s="6"/>
      <x:c r="H98" s="299"/>
      <x:c r="I98" s="3"/>
      <x:c r="J98" s="3"/>
      <x:c r="K98" s="4"/>
      <x:c r="L98" s="4"/>
      <x:c r="M98" s="5"/>
      <x:c r="N98" s="6"/>
      <x:c r="V98" s="1"/>
    </x:row>
    <x:row r="99" spans="1:22" s="2" customFormat="1" ht="20.100000000000001" customHeight="1">
      <x:c r="A99" s="299"/>
      <x:c r="B99" s="3"/>
      <x:c r="C99" s="3"/>
      <x:c r="D99" s="4"/>
      <x:c r="E99" s="4"/>
      <x:c r="F99" s="5">
        <x:f t="shared" si="16"/>
        <x:v>0</x:v>
      </x:c>
      <x:c r="G99" s="6"/>
      <x:c r="H99" s="299"/>
      <x:c r="I99" s="3"/>
      <x:c r="J99" s="3"/>
      <x:c r="K99" s="4"/>
      <x:c r="L99" s="4"/>
      <x:c r="M99" s="5">
        <x:f t="shared" ref="M99:M104" si="17">+K99+L99</x:f>
        <x:v>0</x:v>
      </x:c>
      <x:c r="N99" s="6"/>
      <x:c r="V99" s="1"/>
    </x:row>
    <x:row r="100" spans="1:22" s="2" customFormat="1" ht="20.100000000000001" customHeight="1">
      <x:c r="A100" s="299"/>
      <x:c r="B100" s="3"/>
      <x:c r="C100" s="3"/>
      <x:c r="D100" s="4"/>
      <x:c r="E100" s="4"/>
      <x:c r="F100" s="5">
        <x:f t="shared" si="16"/>
        <x:v>0</x:v>
      </x:c>
      <x:c r="G100" s="6"/>
      <x:c r="H100" s="299"/>
      <x:c r="I100" s="3"/>
      <x:c r="J100" s="3"/>
      <x:c r="K100" s="4"/>
      <x:c r="L100" s="4"/>
      <x:c r="M100" s="5">
        <x:f t="shared" si="17"/>
        <x:v>0</x:v>
      </x:c>
      <x:c r="N100" s="6"/>
      <x:c r="V100" s="1"/>
    </x:row>
    <x:row r="101" spans="1:22" s="2" customFormat="1" ht="20.100000000000001" customHeight="1">
      <x:c r="A101" s="299"/>
      <x:c r="B101" s="3"/>
      <x:c r="C101" s="3"/>
      <x:c r="D101" s="4"/>
      <x:c r="E101" s="4"/>
      <x:c r="F101" s="5">
        <x:f t="shared" si="16"/>
        <x:v>0</x:v>
      </x:c>
      <x:c r="G101" s="6"/>
      <x:c r="H101" s="299"/>
      <x:c r="I101" s="3"/>
      <x:c r="J101" s="3"/>
      <x:c r="K101" s="4"/>
      <x:c r="L101" s="4"/>
      <x:c r="M101" s="5">
        <x:f t="shared" si="17"/>
        <x:v>0</x:v>
      </x:c>
      <x:c r="N101" s="6"/>
      <x:c r="V101" s="1"/>
    </x:row>
    <x:row r="102" spans="1:22" s="2" customFormat="1" ht="20.100000000000001" customHeight="1">
      <x:c r="A102" s="299"/>
      <x:c r="B102" s="3"/>
      <x:c r="C102" s="3"/>
      <x:c r="D102" s="4"/>
      <x:c r="E102" s="4"/>
      <x:c r="F102" s="5">
        <x:f t="shared" si="16"/>
        <x:v>0</x:v>
      </x:c>
      <x:c r="G102" s="6"/>
      <x:c r="H102" s="299"/>
      <x:c r="I102" s="3"/>
      <x:c r="J102" s="3"/>
      <x:c r="K102" s="4"/>
      <x:c r="L102" s="4"/>
      <x:c r="M102" s="5">
        <x:f t="shared" si="17"/>
        <x:v>0</x:v>
      </x:c>
      <x:c r="N102" s="6"/>
      <x:c r="V102" s="1"/>
    </x:row>
    <x:row r="103" spans="1:22" s="2" customFormat="1" ht="20.100000000000001" customHeight="1">
      <x:c r="A103" s="299"/>
      <x:c r="B103" s="3"/>
      <x:c r="C103" s="3"/>
      <x:c r="D103" s="4"/>
      <x:c r="E103" s="4"/>
      <x:c r="F103" s="5">
        <x:f t="shared" si="16"/>
        <x:v>0</x:v>
      </x:c>
      <x:c r="G103" s="6"/>
      <x:c r="H103" s="299"/>
      <x:c r="I103" s="3"/>
      <x:c r="J103" s="3"/>
      <x:c r="K103" s="4"/>
      <x:c r="L103" s="4"/>
      <x:c r="M103" s="5">
        <x:f t="shared" si="17"/>
        <x:v>0</x:v>
      </x:c>
      <x:c r="N103" s="6"/>
      <x:c r="V103" s="1"/>
    </x:row>
    <x:row r="104" spans="1:22" s="2" customFormat="1" ht="20.100000000000001" customHeight="1">
      <x:c r="A104" s="299"/>
      <x:c r="B104" s="3"/>
      <x:c r="C104" s="3"/>
      <x:c r="D104" s="4"/>
      <x:c r="E104" s="4"/>
      <x:c r="F104" s="5">
        <x:f t="shared" si="16"/>
        <x:v>0</x:v>
      </x:c>
      <x:c r="G104" s="6"/>
      <x:c r="H104" s="299"/>
      <x:c r="I104" s="3"/>
      <x:c r="J104" s="3"/>
      <x:c r="K104" s="4"/>
      <x:c r="L104" s="4"/>
      <x:c r="M104" s="5">
        <x:f t="shared" si="17"/>
        <x:v>0</x:v>
      </x:c>
      <x:c r="N104" s="6"/>
      <x:c r="V104" s="1"/>
    </x:row>
    <x:row r="105" spans="1:22" s="2" customFormat="1" ht="20.100000000000001" customHeight="1">
      <x:c r="A105" s="299"/>
      <x:c r="B105" s="3"/>
      <x:c r="C105" s="3"/>
      <x:c r="D105" s="4"/>
      <x:c r="E105" s="4"/>
      <x:c r="F105" s="5">
        <x:f t="shared" si="16"/>
        <x:v>0</x:v>
      </x:c>
      <x:c r="G105" s="6"/>
      <x:c r="H105" s="300"/>
      <x:c r="I105" s="3"/>
      <x:c r="J105" s="3"/>
      <x:c r="K105" s="4"/>
      <x:c r="L105" s="4"/>
      <x:c r="M105" s="5"/>
      <x:c r="N105" s="6"/>
      <x:c r="V105" s="1"/>
    </x:row>
    <x:row r="106" spans="1:22" s="2" customFormat="1" ht="20.100000000000001" customHeight="1">
      <x:c r="A106" s="7"/>
      <x:c r="B106" s="8"/>
      <x:c r="C106" s="8"/>
      <x:c r="D106" s="9">
        <x:f>SUM(D90:D105)</x:f>
        <x:v>6237400</x:v>
      </x:c>
      <x:c r="E106" s="9">
        <x:f>SUM(E90:E105)</x:f>
        <x:v>623740</x:v>
      </x:c>
      <x:c r="F106" s="10">
        <x:f>SUM(F90:F105)</x:f>
        <x:v>6861140</x:v>
      </x:c>
      <x:c r="G106" s="11"/>
      <x:c r="H106" s="7" t="s">
        <x:v>155</x:v>
      </x:c>
      <x:c r="I106" s="8"/>
      <x:c r="J106" s="8"/>
      <x:c r="K106" s="9">
        <x:f>SUM(K90:K105)</x:f>
        <x:v>12269916</x:v>
      </x:c>
      <x:c r="L106" s="9">
        <x:f>SUM(L90:L105)</x:f>
        <x:v>1226990.2</x:v>
      </x:c>
      <x:c r="M106" s="10">
        <x:f>SUM(M90:M105)</x:f>
        <x:v>13496906.199999999</x:v>
      </x:c>
      <x:c r="N106" s="11"/>
      <x:c r="V106" s="1"/>
    </x:row>
    <x:row r="107" spans="1:22" s="2" customFormat="1" ht="20.100000000000001" customHeight="1">
      <x:c r="A107" s="301" t="s">
        <x:v>153</x:v>
      </x:c>
      <x:c r="B107" s="3" t="s">
        <x:v>1677</x:v>
      </x:c>
      <x:c r="C107" s="3" t="s">
        <x:v>1096</x:v>
      </x:c>
      <x:c r="D107" s="4">
        <x:v>9250000</x:v>
      </x:c>
      <x:c r="E107" s="4"/>
      <x:c r="F107" s="5">
        <x:f>+D107+E107</x:f>
        <x:v>9250000</x:v>
      </x:c>
      <x:c r="G107" s="6"/>
      <x:c r="H107" s="301" t="s">
        <x:v>153</x:v>
      </x:c>
      <x:c r="I107" s="3" t="s">
        <x:v>1677</x:v>
      </x:c>
      <x:c r="J107" s="3" t="s">
        <x:v>1383</x:v>
      </x:c>
      <x:c r="K107" s="4">
        <x:v>10795000</x:v>
      </x:c>
      <x:c r="L107" s="44"/>
      <x:c r="M107" s="45">
        <x:f>+K107+L107</x:f>
        <x:v>10795000</x:v>
      </x:c>
      <x:c r="N107" s="37"/>
      <x:c r="V107" s="1"/>
    </x:row>
    <x:row r="108" spans="1:22" s="2" customFormat="1" ht="20.100000000000001" customHeight="1">
      <x:c r="A108" s="299"/>
      <x:c r="B108" s="3"/>
      <x:c r="C108" s="3"/>
      <x:c r="D108" s="4"/>
      <x:c r="E108" s="4"/>
      <x:c r="F108" s="5">
        <x:f>+D108+E108</x:f>
        <x:v>0</x:v>
      </x:c>
      <x:c r="G108" s="6"/>
      <x:c r="H108" s="299"/>
      <x:c r="I108" s="3"/>
      <x:c r="J108" s="3"/>
      <x:c r="K108" s="4"/>
      <x:c r="L108" s="44">
        <x:f>+K108*0.1</x:f>
        <x:v>0</x:v>
      </x:c>
      <x:c r="M108" s="45">
        <x:f>+K108+L108</x:f>
        <x:v>0</x:v>
      </x:c>
      <x:c r="N108" s="37"/>
      <x:c r="V108" s="1"/>
    </x:row>
    <x:row r="109" spans="1:22" s="2" customFormat="1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  <x:c r="V109" s="1"/>
    </x:row>
    <x:row r="110" spans="1:22" s="2" customFormat="1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  <x:c r="V110" s="1"/>
    </x:row>
    <x:row r="111" spans="1:22" s="2" customFormat="1" ht="20.100000000000001" customHeight="1">
      <x:c r="A111" s="7"/>
      <x:c r="B111" s="8"/>
      <x:c r="C111" s="8"/>
      <x:c r="D111" s="9">
        <x:f>SUM(D107:D110)</x:f>
        <x:v>9250000</x:v>
      </x:c>
      <x:c r="E111" s="9">
        <x:f>SUM(E107:E110)</x:f>
        <x:v>0</x:v>
      </x:c>
      <x:c r="F111" s="10">
        <x:f>SUM(F107:F110)</x:f>
        <x:v>9250000</x:v>
      </x:c>
      <x:c r="G111" s="11"/>
      <x:c r="H111" s="7" t="s">
        <x:v>155</x:v>
      </x:c>
      <x:c r="I111" s="8"/>
      <x:c r="J111" s="8"/>
      <x:c r="K111" s="9">
        <x:f>SUM(K107:K110)</x:f>
        <x:v>10795000</x:v>
      </x:c>
      <x:c r="L111" s="9">
        <x:f>SUM(L107:L110)</x:f>
        <x:v>0</x:v>
      </x:c>
      <x:c r="M111" s="10">
        <x:f>SUM(M107:M110)</x:f>
        <x:v>10795000</x:v>
      </x:c>
      <x:c r="N111" s="11"/>
      <x:c r="V111" s="1"/>
    </x:row>
    <x:row r="112" spans="1:22" s="2" customFormat="1" ht="20.100000000000001" customHeight="1">
      <x:c r="A112" s="301" t="s">
        <x:v>187</x:v>
      </x:c>
      <x:c r="B112" s="3" t="s">
        <x:v>1124</x:v>
      </x:c>
      <x:c r="C112" s="3" t="s">
        <x:v>1006</x:v>
      </x:c>
      <x:c r="D112" s="4">
        <x:v>550000</x:v>
      </x:c>
      <x:c r="E112" s="4">
        <x:f>+D112*0.1</x:f>
        <x:v>55000</x:v>
      </x:c>
      <x:c r="F112" s="5">
        <x:f>+D112+E112</x:f>
        <x:v>605000</x:v>
      </x:c>
      <x:c r="G112" s="6"/>
      <x:c r="H112" s="301" t="s">
        <x:v>187</x:v>
      </x:c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  <x:c r="V112" s="1"/>
    </x:row>
    <x:row r="113" spans="1:22" s="2" customFormat="1" ht="20.100000000000001" customHeight="1">
      <x:c r="A113" s="299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  <x:c r="V113" s="1"/>
    </x:row>
    <x:row r="114" spans="1:22" s="2" customFormat="1" ht="20.100000000000001" customHeight="1">
      <x:c r="A114" s="299"/>
      <x:c r="B114" s="3"/>
      <x:c r="C114" s="3"/>
      <x:c r="D114" s="4"/>
      <x:c r="E114" s="4">
        <x:f>+D114*0.1</x:f>
        <x:v>0</x:v>
      </x:c>
      <x:c r="F114" s="5">
        <x:f>+D114+E114</x:f>
        <x:v>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  <x:c r="V114" s="1"/>
    </x:row>
    <x:row r="115" spans="1:22" s="2" customFormat="1" ht="20.100000000000001" customHeight="1">
      <x:c r="A115" s="300"/>
      <x:c r="B115" s="3"/>
      <x:c r="C115" s="3"/>
      <x:c r="D115" s="4"/>
      <x:c r="E115" s="4">
        <x:f>+D115*0.1</x:f>
        <x:v>0</x:v>
      </x:c>
      <x:c r="F115" s="5">
        <x:f>+D115+E115</x:f>
        <x:v>0</x:v>
      </x:c>
      <x:c r="G115" s="6"/>
      <x:c r="H115" s="300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  <x:c r="V115" s="1"/>
    </x:row>
    <x:row r="116" spans="1:22" s="2" customFormat="1" ht="20.100000000000001" customHeight="1">
      <x:c r="A116" s="7"/>
      <x:c r="B116" s="8"/>
      <x:c r="C116" s="8"/>
      <x:c r="D116" s="9">
        <x:f>SUM(D112:D115)</x:f>
        <x:v>550000</x:v>
      </x:c>
      <x:c r="E116" s="9">
        <x:f>SUM(E112:E115)</x:f>
        <x:v>55000</x:v>
      </x:c>
      <x:c r="F116" s="10">
        <x:f>SUM(F112:F115)</x:f>
        <x:v>605000</x:v>
      </x:c>
      <x:c r="G116" s="11"/>
      <x:c r="H116" s="7" t="s">
        <x:v>155</x:v>
      </x:c>
      <x:c r="I116" s="8"/>
      <x:c r="J116" s="8"/>
      <x:c r="K116" s="9">
        <x:f>SUM(K112:K115)</x:f>
        <x:v>0</x:v>
      </x:c>
      <x:c r="L116" s="9">
        <x:f>SUM(L112:L115)</x:f>
        <x:v>0</x:v>
      </x:c>
      <x:c r="M116" s="10">
        <x:f>SUM(M112:M115)</x:f>
        <x:v>0</x:v>
      </x:c>
      <x:c r="N116" s="11"/>
      <x:c r="V116" s="1"/>
    </x:row>
    <x:row r="117" spans="1:22" s="2" customFormat="1" ht="20.100000000000001" customHeight="1">
      <x:c r="A117" s="301" t="s">
        <x:v>149</x:v>
      </x:c>
      <x:c r="B117" s="3" t="s">
        <x:v>177</x:v>
      </x:c>
      <x:c r="C117" s="3" t="s">
        <x:v>149</x:v>
      </x:c>
      <x:c r="D117" s="4">
        <x:v>250500</x:v>
      </x:c>
      <x:c r="E117" s="4"/>
      <x:c r="F117" s="5">
        <x:f t="shared" ref="F117:F123" si="18">+D117+E117</x:f>
        <x:v>250500</x:v>
      </x:c>
      <x:c r="G117" s="6"/>
      <x:c r="H117" s="301" t="s">
        <x:v>149</x:v>
      </x:c>
      <x:c r="I117" s="3" t="s">
        <x:v>177</x:v>
      </x:c>
      <x:c r="J117" s="3" t="s">
        <x:v>149</x:v>
      </x:c>
      <x:c r="K117" s="4">
        <x:v>621620</x:v>
      </x:c>
      <x:c r="L117" s="4"/>
      <x:c r="M117" s="5">
        <x:f t="shared" ref="M117:M126" si="19">+K117+L117</x:f>
        <x:v>621620</x:v>
      </x:c>
      <x:c r="N117" s="6"/>
      <x:c r="V117" s="1"/>
    </x:row>
    <x:row r="118" spans="1:22" s="2" customFormat="1" ht="20.100000000000001" customHeight="1">
      <x:c r="A118" s="299"/>
      <x:c r="B118" s="3" t="s">
        <x:v>601</x:v>
      </x:c>
      <x:c r="C118" s="3" t="s">
        <x:v>962</x:v>
      </x:c>
      <x:c r="D118" s="4">
        <x:v>279000</x:v>
      </x:c>
      <x:c r="E118" s="4">
        <x:f>+D118*0.1</x:f>
        <x:v>27900</x:v>
      </x:c>
      <x:c r="F118" s="5">
        <x:f t="shared" si="18"/>
        <x:v>306900</x:v>
      </x:c>
      <x:c r="G118" s="6"/>
      <x:c r="H118" s="299"/>
      <x:c r="I118" s="3" t="s">
        <x:v>1359</x:v>
      </x:c>
      <x:c r="J118" s="3" t="s">
        <x:v>1356</x:v>
      </x:c>
      <x:c r="K118" s="4">
        <x:v>282000</x:v>
      </x:c>
      <x:c r="L118" s="4">
        <x:f>+K118*0.1</x:f>
        <x:v>28200</x:v>
      </x:c>
      <x:c r="M118" s="5">
        <x:f t="shared" si="19"/>
        <x:v>310200</x:v>
      </x:c>
      <x:c r="N118" s="6"/>
      <x:c r="V118" s="1"/>
    </x:row>
    <x:row r="119" spans="1:22" s="2" customFormat="1" ht="20.100000000000001" customHeight="1">
      <x:c r="A119" s="299"/>
      <x:c r="B119" s="3" t="s">
        <x:v>926</x:v>
      </x:c>
      <x:c r="C119" s="3" t="s">
        <x:v>409</x:v>
      </x:c>
      <x:c r="D119" s="4">
        <x:v>367870</x:v>
      </x:c>
      <x:c r="E119" s="4"/>
      <x:c r="F119" s="5">
        <x:f t="shared" si="18"/>
        <x:v>367870</x:v>
      </x:c>
      <x:c r="G119" s="6"/>
      <x:c r="H119" s="299"/>
      <x:c r="I119" s="3" t="s">
        <x:v>1412</x:v>
      </x:c>
      <x:c r="J119" s="3" t="s">
        <x:v>1413</x:v>
      </x:c>
      <x:c r="K119" s="4">
        <x:v>2000</x:v>
      </x:c>
      <x:c r="L119" s="4">
        <x:f>+K119*0.1</x:f>
        <x:v>200</x:v>
      </x:c>
      <x:c r="M119" s="5">
        <x:f t="shared" si="19"/>
        <x:v>2200</x:v>
      </x:c>
      <x:c r="N119" s="6" t="s">
        <x:v>500</x:v>
      </x:c>
      <x:c r="V119" s="1"/>
    </x:row>
    <x:row r="120" spans="1:22" s="2" customFormat="1" ht="20.100000000000001" customHeight="1">
      <x:c r="A120" s="299"/>
      <x:c r="B120" s="3" t="s">
        <x:v>947</x:v>
      </x:c>
      <x:c r="C120" s="3" t="s">
        <x:v>914</x:v>
      </x:c>
      <x:c r="D120" s="4">
        <x:v>50000</x:v>
      </x:c>
      <x:c r="E120" s="4">
        <x:f>+D120*0.1</x:f>
        <x:v>5000</x:v>
      </x:c>
      <x:c r="F120" s="5">
        <x:f t="shared" si="18"/>
        <x:v>55000</x:v>
      </x:c>
      <x:c r="G120" s="6"/>
      <x:c r="H120" s="299"/>
      <x:c r="I120" s="3"/>
      <x:c r="J120" s="3"/>
      <x:c r="K120" s="4"/>
      <x:c r="L120" s="4"/>
      <x:c r="M120" s="5">
        <x:f t="shared" si="19"/>
        <x:v>0</x:v>
      </x:c>
      <x:c r="N120" s="6"/>
      <x:c r="V120" s="1"/>
    </x:row>
    <x:row r="121" spans="1:22" s="2" customFormat="1" ht="20.100000000000001" customHeight="1">
      <x:c r="A121" s="299"/>
      <x:c r="B121" s="3" t="s">
        <x:v>1327</x:v>
      </x:c>
      <x:c r="C121" s="3" t="s">
        <x:v>167</x:v>
      </x:c>
      <x:c r="D121" s="4">
        <x:v>20000</x:v>
      </x:c>
      <x:c r="E121" s="4">
        <x:f>+D121*0.1</x:f>
        <x:v>2000</x:v>
      </x:c>
      <x:c r="F121" s="5">
        <x:f t="shared" si="18"/>
        <x:v>22000</x:v>
      </x:c>
      <x:c r="G121" s="6"/>
      <x:c r="H121" s="299"/>
      <x:c r="I121" s="3"/>
      <x:c r="J121" s="3"/>
      <x:c r="K121" s="4"/>
      <x:c r="L121" s="4"/>
      <x:c r="M121" s="5">
        <x:f t="shared" si="19"/>
        <x:v>0</x:v>
      </x:c>
      <x:c r="N121" s="6"/>
      <x:c r="V121" s="1"/>
    </x:row>
    <x:row r="122" spans="1:22" s="2" customFormat="1" ht="20.100000000000001" customHeight="1">
      <x:c r="A122" s="299"/>
      <x:c r="B122" s="3" t="s">
        <x:v>247</x:v>
      </x:c>
      <x:c r="C122" s="3" t="s">
        <x:v>231</x:v>
      </x:c>
      <x:c r="D122" s="4">
        <x:v>20000</x:v>
      </x:c>
      <x:c r="E122" s="4">
        <x:f>+D122*0.1</x:f>
        <x:v>2000</x:v>
      </x:c>
      <x:c r="F122" s="5">
        <x:f t="shared" si="18"/>
        <x:v>22000</x:v>
      </x:c>
      <x:c r="G122" s="6"/>
      <x:c r="H122" s="299"/>
      <x:c r="I122" s="3"/>
      <x:c r="J122" s="3"/>
      <x:c r="K122" s="4"/>
      <x:c r="L122" s="4"/>
      <x:c r="M122" s="5">
        <x:f t="shared" si="19"/>
        <x:v>0</x:v>
      </x:c>
      <x:c r="N122" s="6"/>
      <x:c r="V122" s="1"/>
    </x:row>
    <x:row r="123" spans="1:22" s="2" customFormat="1" ht="20.100000000000001" customHeight="1">
      <x:c r="A123" s="299"/>
      <x:c r="B123" s="3"/>
      <x:c r="C123" s="3"/>
      <x:c r="D123" s="4"/>
      <x:c r="E123" s="4"/>
      <x:c r="F123" s="5">
        <x:f t="shared" si="18"/>
        <x:v>0</x:v>
      </x:c>
      <x:c r="G123" s="6"/>
      <x:c r="H123" s="299"/>
      <x:c r="I123" s="3"/>
      <x:c r="J123" s="3"/>
      <x:c r="K123" s="4"/>
      <x:c r="L123" s="4"/>
      <x:c r="M123" s="5">
        <x:f t="shared" si="19"/>
        <x:v>0</x:v>
      </x:c>
      <x:c r="N123" s="6"/>
      <x:c r="V123" s="1"/>
    </x:row>
    <x:row r="124" spans="1:22" s="2" customFormat="1" ht="20.100000000000001" customHeight="1">
      <x:c r="A124" s="299"/>
      <x:c r="B124" s="3"/>
      <x:c r="C124" s="3"/>
      <x:c r="D124" s="4"/>
      <x:c r="E124" s="4"/>
      <x:c r="F124" s="5"/>
      <x:c r="G124" s="6"/>
      <x:c r="H124" s="299"/>
      <x:c r="I124" s="3"/>
      <x:c r="J124" s="3"/>
      <x:c r="K124" s="4"/>
      <x:c r="L124" s="4"/>
      <x:c r="M124" s="5">
        <x:f t="shared" si="19"/>
        <x:v>0</x:v>
      </x:c>
      <x:c r="N124" s="6"/>
      <x:c r="V124" s="1"/>
    </x:row>
    <x:row r="125" spans="1:22" s="2" customFormat="1" ht="20.100000000000001" customHeight="1">
      <x:c r="A125" s="299"/>
      <x:c r="B125" s="3"/>
      <x:c r="C125" s="3"/>
      <x:c r="D125" s="4"/>
      <x:c r="E125" s="4"/>
      <x:c r="F125" s="5"/>
      <x:c r="G125" s="6"/>
      <x:c r="H125" s="299"/>
      <x:c r="I125" s="3"/>
      <x:c r="J125" s="3"/>
      <x:c r="K125" s="4"/>
      <x:c r="L125" s="4"/>
      <x:c r="M125" s="5">
        <x:f t="shared" si="19"/>
        <x:v>0</x:v>
      </x:c>
      <x:c r="N125" s="6"/>
      <x:c r="V125" s="1"/>
    </x:row>
    <x:row r="126" spans="1:22" s="2" customFormat="1" ht="20.100000000000001" customHeight="1">
      <x:c r="A126" s="300"/>
      <x:c r="B126" s="3"/>
      <x:c r="C126" s="3"/>
      <x:c r="D126" s="4"/>
      <x:c r="E126" s="4"/>
      <x:c r="F126" s="5"/>
      <x:c r="G126" s="6"/>
      <x:c r="H126" s="300"/>
      <x:c r="I126" s="3"/>
      <x:c r="J126" s="3"/>
      <x:c r="K126" s="4"/>
      <x:c r="L126" s="4"/>
      <x:c r="M126" s="5">
        <x:f t="shared" si="19"/>
        <x:v>0</x:v>
      </x:c>
      <x:c r="N126" s="6"/>
      <x:c r="V126" s="1"/>
    </x:row>
    <x:row r="127" spans="1:22" s="2" customFormat="1" ht="20.100000000000001" customHeight="1">
      <x:c r="A127" s="7"/>
      <x:c r="B127" s="8"/>
      <x:c r="C127" s="8"/>
      <x:c r="D127" s="9">
        <x:f>SUM(D117:D126)</x:f>
        <x:v>987370</x:v>
      </x:c>
      <x:c r="E127" s="9">
        <x:f>SUM(E117:E126)</x:f>
        <x:v>36900</x:v>
      </x:c>
      <x:c r="F127" s="10">
        <x:f>SUM(F117:F126)</x:f>
        <x:v>1024270</x:v>
      </x:c>
      <x:c r="G127" s="11"/>
      <x:c r="H127" s="7" t="s">
        <x:v>155</x:v>
      </x:c>
      <x:c r="I127" s="8"/>
      <x:c r="J127" s="8"/>
      <x:c r="K127" s="9">
        <x:f>SUM(K117:K126)</x:f>
        <x:v>905620</x:v>
      </x:c>
      <x:c r="L127" s="9">
        <x:f>SUM(L117:L126)</x:f>
        <x:v>28400</x:v>
      </x:c>
      <x:c r="M127" s="10">
        <x:f>SUM(M117:M126)</x:f>
        <x:v>934020</x:v>
      </x:c>
      <x:c r="N127" s="11"/>
      <x:c r="V127" s="1"/>
    </x:row>
    <x:row r="128" spans="1:22" s="2" customFormat="1" ht="20.100000000000001" customHeight="1">
      <x:c r="A128" s="12"/>
      <x:c r="B128" s="13"/>
      <x:c r="C128" s="13"/>
      <x:c r="D128" s="14">
        <x:f>+D106+D111+D116+D127</x:f>
        <x:v>17024770</x:v>
      </x:c>
      <x:c r="E128" s="14">
        <x:f>+E106+E111+E116+E127</x:f>
        <x:v>715640</x:v>
      </x:c>
      <x:c r="F128" s="15">
        <x:f>+F106+F111+F116+F127</x:f>
        <x:v>17740410</x:v>
      </x:c>
      <x:c r="G128" s="16"/>
      <x:c r="H128" s="12" t="s">
        <x:v>1690</x:v>
      </x:c>
      <x:c r="I128" s="13"/>
      <x:c r="J128" s="13"/>
      <x:c r="K128" s="14">
        <x:f>+K106+K111+K116+K127</x:f>
        <x:v>23970536</x:v>
      </x:c>
      <x:c r="L128" s="14">
        <x:f>+L106+L111+L116+L127</x:f>
        <x:v>1255390.2</x:v>
      </x:c>
      <x:c r="M128" s="15">
        <x:f>+M106+M111+M116+M127</x:f>
        <x:v>25225926.199999999</x:v>
      </x:c>
      <x:c r="N128" s="16"/>
      <x:c r="V128" s="1"/>
    </x:row>
    <x:row r="129" spans="1:22" s="2" customFormat="1" ht="20.100000000000001" customHeight="1">
      <x:c r="A129" s="23"/>
      <x:c r="B129" s="24"/>
      <x:c r="C129" s="24"/>
      <x:c r="D129" s="25">
        <x:f>+D89-D128</x:f>
        <x:v>12975230</x:v>
      </x:c>
      <x:c r="E129" s="25">
        <x:f>+E89-E128</x:f>
        <x:v>2284360</x:v>
      </x:c>
      <x:c r="F129" s="26">
        <x:f>+F89-F128</x:f>
        <x:v>15259590</x:v>
      </x:c>
      <x:c r="G129" s="27"/>
      <x:c r="H129" s="23" t="s">
        <x:v>35</x:v>
      </x:c>
      <x:c r="I129" s="24"/>
      <x:c r="J129" s="24"/>
      <x:c r="K129" s="25">
        <x:f>+K89-K128</x:f>
        <x:v>-10970536</x:v>
      </x:c>
      <x:c r="L129" s="25">
        <x:f>+L89-L128</x:f>
        <x:v>44609.800000000047</x:v>
      </x:c>
      <x:c r="M129" s="26">
        <x:f>+M89-M128</x:f>
        <x:v>-10925926.199999999</x:v>
      </x:c>
      <x:c r="N129" s="27"/>
      <x:c r="V129" s="1"/>
    </x:row>
    <x:row r="130" spans="1:22" s="2" customFormat="1" ht="20.100000000000001" customHeight="1">
      <x:c r="A130" s="302" t="s">
        <x:v>423</x:v>
      </x:c>
      <x:c r="B130" s="303"/>
      <x:c r="C130" s="303"/>
      <x:c r="D130" s="303"/>
      <x:c r="E130" s="303"/>
      <x:c r="F130" s="304"/>
      <x:c r="G130" s="305"/>
      <x:c r="H130" s="302" t="s">
        <x:v>494</x:v>
      </x:c>
      <x:c r="I130" s="303"/>
      <x:c r="J130" s="303"/>
      <x:c r="K130" s="303"/>
      <x:c r="L130" s="303"/>
      <x:c r="M130" s="304"/>
      <x:c r="N130" s="305"/>
      <x:c r="V130" s="1"/>
    </x:row>
    <x:row r="131" spans="1:22" s="2" customFormat="1" ht="20.100000000000001" customHeight="1">
      <x:c r="A131" s="29" t="s">
        <x:v>147</x:v>
      </x:c>
      <x:c r="B131" s="197" t="s">
        <x:v>144</x:v>
      </x:c>
      <x:c r="C131" s="197" t="s">
        <x:v>150</x:v>
      </x:c>
      <x:c r="D131" s="31" t="s">
        <x:v>145</x:v>
      </x:c>
      <x:c r="E131" s="31" t="s">
        <x:v>152</x:v>
      </x:c>
      <x:c r="F131" s="32" t="s">
        <x:v>146</x:v>
      </x:c>
      <x:c r="G131" s="33" t="s">
        <x:v>154</x:v>
      </x:c>
      <x:c r="H131" s="29" t="s">
        <x:v>147</x:v>
      </x:c>
      <x:c r="I131" s="197" t="s">
        <x:v>144</x:v>
      </x:c>
      <x:c r="J131" s="197" t="s">
        <x:v>150</x:v>
      </x:c>
      <x:c r="K131" s="31" t="s">
        <x:v>145</x:v>
      </x:c>
      <x:c r="L131" s="31" t="s">
        <x:v>152</x:v>
      </x:c>
      <x:c r="M131" s="31" t="s">
        <x:v>146</x:v>
      </x:c>
      <x:c r="N131" s="34" t="s">
        <x:v>154</x:v>
      </x:c>
      <x:c r="V131" s="1"/>
    </x:row>
    <x:row r="132" spans="1:22" s="2" customFormat="1" ht="20.100000000000001" customHeight="1">
      <x:c r="A132" s="196" t="s">
        <x:v>151</x:v>
      </x:c>
      <x:c r="B132" s="38" t="s">
        <x:v>1679</x:v>
      </x:c>
      <x:c r="C132" s="38" t="s">
        <x:v>156</x:v>
      </x:c>
      <x:c r="D132" s="39">
        <x:v>308297000</x:v>
      </x:c>
      <x:c r="E132" s="39">
        <x:f t="shared" ref="E132:E138" si="20">+D132*0.1</x:f>
        <x:v>30829700</x:v>
      </x:c>
      <x:c r="F132" s="40">
        <x:f t="shared" ref="F132:F147" si="21">+D132+E132</x:f>
        <x:v>339126700</x:v>
      </x:c>
      <x:c r="G132" s="18"/>
      <x:c r="H132" s="41" t="s">
        <x:v>151</x:v>
      </x:c>
      <x:c r="I132" s="38" t="s">
        <x:v>1679</x:v>
      </x:c>
      <x:c r="J132" s="38" t="s">
        <x:v>1030</x:v>
      </x:c>
      <x:c r="K132" s="39"/>
      <x:c r="L132" s="39"/>
      <x:c r="M132" s="40">
        <x:f>+K132+L132</x:f>
        <x:v>0</x:v>
      </x:c>
      <x:c r="N132" s="42"/>
      <x:c r="V132" s="1"/>
    </x:row>
    <x:row r="133" spans="1:22" s="2" customFormat="1" ht="20.100000000000001" customHeight="1">
      <x:c r="A133" s="298" t="s">
        <x:v>148</x:v>
      </x:c>
      <x:c r="B133" s="54" t="s">
        <x:v>1329</x:v>
      </x:c>
      <x:c r="C133" s="54" t="s">
        <x:v>1112</x:v>
      </x:c>
      <x:c r="D133" s="93">
        <x:v>92334000</x:v>
      </x:c>
      <x:c r="E133" s="93">
        <x:f t="shared" si="20"/>
        <x:v>9233400</x:v>
      </x:c>
      <x:c r="F133" s="94">
        <x:f t="shared" si="21"/>
        <x:v>101567400</x:v>
      </x:c>
      <x:c r="G133" s="95" t="s">
        <x:v>273</x:v>
      </x:c>
      <x:c r="H133" s="298" t="s">
        <x:v>148</x:v>
      </x:c>
      <x:c r="I133" s="19"/>
      <x:c r="J133" s="19"/>
      <x:c r="K133" s="20"/>
      <x:c r="L133" s="20">
        <x:f>+K133*0.1</x:f>
        <x:v>0</x:v>
      </x:c>
      <x:c r="M133" s="21">
        <x:f t="shared" ref="M133:M148" si="22">+K133+L133</x:f>
        <x:v>0</x:v>
      </x:c>
      <x:c r="N133" s="22"/>
      <x:c r="V133" s="1"/>
    </x:row>
    <x:row r="134" spans="1:22" s="2" customFormat="1" ht="20.100000000000001" customHeight="1">
      <x:c r="A134" s="299"/>
      <x:c r="B134" s="162" t="s">
        <x:v>1358</x:v>
      </x:c>
      <x:c r="C134" s="162" t="s">
        <x:v>1381</x:v>
      </x:c>
      <x:c r="D134" s="163">
        <x:v>821600</x:v>
      </x:c>
      <x:c r="E134" s="4">
        <x:f t="shared" si="20"/>
        <x:v>82160</x:v>
      </x:c>
      <x:c r="F134" s="193">
        <x:f t="shared" si="21"/>
        <x:v>903760</x:v>
      </x:c>
      <x:c r="G134" s="180" t="s">
        <x:v>258</x:v>
      </x:c>
      <x:c r="H134" s="299"/>
      <x:c r="I134" s="3"/>
      <x:c r="J134" s="3"/>
      <x:c r="K134" s="4"/>
      <x:c r="L134" s="4">
        <x:f>K134*0.1</x:f>
        <x:v>0</x:v>
      </x:c>
      <x:c r="M134" s="5">
        <x:f t="shared" si="22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1362</x:v>
      </x:c>
      <x:c r="C135" s="3" t="s">
        <x:v>369</x:v>
      </x:c>
      <x:c r="D135" s="4">
        <x:v>13800360</x:v>
      </x:c>
      <x:c r="E135" s="4">
        <x:f t="shared" si="20"/>
        <x:v>1380036</x:v>
      </x:c>
      <x:c r="F135" s="194">
        <x:f t="shared" si="21"/>
        <x:v>15180396</x:v>
      </x:c>
      <x:c r="G135" s="180" t="s">
        <x:v>258</x:v>
      </x:c>
      <x:c r="H135" s="299"/>
      <x:c r="I135" s="3"/>
      <x:c r="J135" s="3"/>
      <x:c r="K135" s="4"/>
      <x:c r="L135" s="4">
        <x:f>+K135*0.1</x:f>
        <x:v>0</x:v>
      </x:c>
      <x:c r="M135" s="5">
        <x:f t="shared" si="22"/>
        <x:v>0</x:v>
      </x:c>
      <x:c r="N135" s="6"/>
      <x:c r="V135" s="1"/>
    </x:row>
    <x:row r="136" spans="1:22" s="2" customFormat="1" ht="20.100000000000001" customHeight="1">
      <x:c r="A136" s="299"/>
      <x:c r="B136" s="3" t="s">
        <x:v>1363</x:v>
      </x:c>
      <x:c r="C136" s="3" t="s">
        <x:v>1379</x:v>
      </x:c>
      <x:c r="D136" s="4">
        <x:v>2931000</x:v>
      </x:c>
      <x:c r="E136" s="4">
        <x:f t="shared" si="20"/>
        <x:v>293100</x:v>
      </x:c>
      <x:c r="F136" s="194">
        <x:f t="shared" si="21"/>
        <x:v>3224100</x:v>
      </x:c>
      <x:c r="G136" s="180" t="s">
        <x:v>258</x:v>
      </x:c>
      <x:c r="H136" s="299"/>
      <x:c r="I136" s="3"/>
      <x:c r="J136" s="3"/>
      <x:c r="K136" s="4"/>
      <x:c r="L136" s="4">
        <x:f>+K136*0.1</x:f>
        <x:v>0</x:v>
      </x:c>
      <x:c r="M136" s="5">
        <x:f t="shared" si="22"/>
        <x:v>0</x:v>
      </x:c>
      <x:c r="N136" s="6"/>
      <x:c r="V136" s="1"/>
    </x:row>
    <x:row r="137" spans="1:22" s="2" customFormat="1" ht="20.100000000000001" customHeight="1">
      <x:c r="A137" s="299"/>
      <x:c r="B137" s="3" t="s">
        <x:v>1372</x:v>
      </x:c>
      <x:c r="C137" s="3" t="s">
        <x:v>1405</x:v>
      </x:c>
      <x:c r="D137" s="4">
        <x:v>2000000</x:v>
      </x:c>
      <x:c r="E137" s="4">
        <x:f t="shared" si="20"/>
        <x:v>200000</x:v>
      </x:c>
      <x:c r="F137" s="194">
        <x:f t="shared" si="21"/>
        <x:v>2200000</x:v>
      </x:c>
      <x:c r="G137" s="180" t="s">
        <x:v>258</x:v>
      </x:c>
      <x:c r="H137" s="299"/>
      <x:c r="I137" s="3"/>
      <x:c r="J137" s="3"/>
      <x:c r="K137" s="4"/>
      <x:c r="L137" s="4">
        <x:f>+K137*0.1</x:f>
        <x:v>0</x:v>
      </x:c>
      <x:c r="M137" s="5">
        <x:f t="shared" si="22"/>
        <x:v>0</x:v>
      </x:c>
      <x:c r="N137" s="6"/>
      <x:c r="V137" s="1"/>
    </x:row>
    <x:row r="138" spans="1:22" s="2" customFormat="1" ht="20.100000000000001" customHeight="1">
      <x:c r="A138" s="299"/>
      <x:c r="B138" s="3" t="s">
        <x:v>1380</x:v>
      </x:c>
      <x:c r="C138" s="3" t="s">
        <x:v>1377</x:v>
      </x:c>
      <x:c r="D138" s="4">
        <x:v>29272040</x:v>
      </x:c>
      <x:c r="E138" s="4">
        <x:f t="shared" si="20"/>
        <x:v>2927204</x:v>
      </x:c>
      <x:c r="F138" s="194">
        <x:f t="shared" si="21"/>
        <x:v>32199244</x:v>
      </x:c>
      <x:c r="G138" s="180" t="s">
        <x:v>258</x:v>
      </x:c>
      <x:c r="H138" s="299"/>
      <x:c r="I138" s="3"/>
      <x:c r="J138" s="3"/>
      <x:c r="K138" s="4"/>
      <x:c r="L138" s="4">
        <x:f t="shared" ref="L138:L148" si="23">+K138*0.1</x:f>
        <x:v>0</x:v>
      </x:c>
      <x:c r="M138" s="5">
        <x:f t="shared" si="22"/>
        <x:v>0</x:v>
      </x:c>
      <x:c r="N138" s="6"/>
      <x:c r="V138" s="1"/>
    </x:row>
    <x:row r="139" spans="1:22" s="2" customFormat="1" ht="20.100000000000001" customHeight="1">
      <x:c r="A139" s="299"/>
      <x:c r="B139" s="3" t="s">
        <x:v>938</x:v>
      </x:c>
      <x:c r="C139" s="3" t="s">
        <x:v>953</x:v>
      </x:c>
      <x:c r="D139" s="4"/>
      <x:c r="E139" s="4"/>
      <x:c r="F139" s="194">
        <x:f t="shared" si="21"/>
        <x:v>0</x:v>
      </x:c>
      <x:c r="G139" s="6" t="s">
        <x:v>273</x:v>
      </x:c>
      <x:c r="H139" s="299"/>
      <x:c r="I139" s="3"/>
      <x:c r="J139" s="3"/>
      <x:c r="K139" s="4"/>
      <x:c r="L139" s="4">
        <x:f t="shared" si="23"/>
        <x:v>0</x:v>
      </x:c>
      <x:c r="M139" s="5">
        <x:f t="shared" si="22"/>
        <x:v>0</x:v>
      </x:c>
      <x:c r="N139" s="6"/>
      <x:c r="V139" s="1"/>
    </x:row>
    <x:row r="140" spans="1:22" s="2" customFormat="1" ht="20.100000000000001" customHeight="1">
      <x:c r="A140" s="299"/>
      <x:c r="B140" s="3" t="s">
        <x:v>1418</x:v>
      </x:c>
      <x:c r="C140" s="3" t="s">
        <x:v>1405</x:v>
      </x:c>
      <x:c r="D140" s="4"/>
      <x:c r="E140" s="4"/>
      <x:c r="F140" s="194">
        <x:f t="shared" si="21"/>
        <x:v>0</x:v>
      </x:c>
      <x:c r="G140" s="180" t="s">
        <x:v>258</x:v>
      </x:c>
      <x:c r="H140" s="299"/>
      <x:c r="I140" s="3"/>
      <x:c r="J140" s="3"/>
      <x:c r="K140" s="4"/>
      <x:c r="L140" s="4">
        <x:f t="shared" si="23"/>
        <x:v>0</x:v>
      </x:c>
      <x:c r="M140" s="5">
        <x:f t="shared" si="22"/>
        <x:v>0</x:v>
      </x:c>
      <x:c r="N140" s="6"/>
      <x:c r="V140" s="1"/>
    </x:row>
    <x:row r="141" spans="1:22" s="2" customFormat="1" ht="20.100000000000001" customHeight="1">
      <x:c r="A141" s="299"/>
      <x:c r="B141" s="3" t="s">
        <x:v>1406</x:v>
      </x:c>
      <x:c r="C141" s="3" t="s">
        <x:v>254</x:v>
      </x:c>
      <x:c r="D141" s="4"/>
      <x:c r="E141" s="4"/>
      <x:c r="F141" s="194">
        <x:f t="shared" si="21"/>
        <x:v>0</x:v>
      </x:c>
      <x:c r="G141" s="180" t="s">
        <x:v>258</x:v>
      </x:c>
      <x:c r="H141" s="299"/>
      <x:c r="I141" s="3"/>
      <x:c r="J141" s="3"/>
      <x:c r="K141" s="4"/>
      <x:c r="L141" s="4"/>
      <x:c r="M141" s="5"/>
      <x:c r="N141" s="6"/>
      <x:c r="V141" s="1"/>
    </x:row>
    <x:row r="142" spans="1:22" s="2" customFormat="1" ht="20.100000000000001" customHeight="1">
      <x:c r="A142" s="299"/>
      <x:c r="B142" s="3" t="s">
        <x:v>276</x:v>
      </x:c>
      <x:c r="C142" s="3" t="s">
        <x:v>1419</x:v>
      </x:c>
      <x:c r="D142" s="4">
        <x:v>50000000</x:v>
      </x:c>
      <x:c r="E142" s="4">
        <x:f>+D142*0.1</x:f>
        <x:v>5000000</x:v>
      </x:c>
      <x:c r="F142" s="194">
        <x:f t="shared" si="21"/>
        <x:v>55000000</x:v>
      </x:c>
      <x:c r="G142" s="180" t="s">
        <x:v>258</x:v>
      </x:c>
      <x:c r="H142" s="299"/>
      <x:c r="I142" s="3"/>
      <x:c r="J142" s="3"/>
      <x:c r="K142" s="4"/>
      <x:c r="L142" s="4">
        <x:f t="shared" si="23"/>
        <x:v>0</x:v>
      </x:c>
      <x:c r="M142" s="5">
        <x:f t="shared" si="22"/>
        <x:v>0</x:v>
      </x:c>
      <x:c r="N142" s="6"/>
      <x:c r="V142" s="1"/>
    </x:row>
    <x:row r="143" spans="1:22" s="2" customFormat="1" ht="20.100000000000001" customHeight="1">
      <x:c r="A143" s="299"/>
      <x:c r="B143" s="3" t="s">
        <x:v>1400</x:v>
      </x:c>
      <x:c r="C143" s="3" t="s">
        <x:v>491</x:v>
      </x:c>
      <x:c r="D143" s="4">
        <x:v>3600000</x:v>
      </x:c>
      <x:c r="E143" s="4">
        <x:f>+D143*0.1</x:f>
        <x:v>360000</x:v>
      </x:c>
      <x:c r="F143" s="194">
        <x:f t="shared" si="21"/>
        <x:v>3960000</x:v>
      </x:c>
      <x:c r="G143" s="6" t="s">
        <x:v>273</x:v>
      </x:c>
      <x:c r="H143" s="299"/>
      <x:c r="I143" s="3"/>
      <x:c r="J143" s="3"/>
      <x:c r="K143" s="4"/>
      <x:c r="L143" s="4">
        <x:f t="shared" si="23"/>
        <x:v>0</x:v>
      </x:c>
      <x:c r="M143" s="5">
        <x:f t="shared" si="22"/>
        <x:v>0</x:v>
      </x:c>
      <x:c r="N143" s="6"/>
      <x:c r="V143" s="1"/>
    </x:row>
    <x:row r="144" spans="1:22" s="2" customFormat="1" ht="20.100000000000001" customHeight="1">
      <x:c r="A144" s="299"/>
      <x:c r="B144" s="3" t="s">
        <x:v>1448</x:v>
      </x:c>
      <x:c r="C144" s="3" t="s">
        <x:v>1430</x:v>
      </x:c>
      <x:c r="D144" s="4">
        <x:v>25700000</x:v>
      </x:c>
      <x:c r="E144" s="4">
        <x:f>+D144*0.1</x:f>
        <x:v>2570000</x:v>
      </x:c>
      <x:c r="F144" s="5">
        <x:f t="shared" si="21"/>
        <x:v>28270000</x:v>
      </x:c>
      <x:c r="G144" s="6" t="s">
        <x:v>273</x:v>
      </x:c>
      <x:c r="H144" s="299"/>
      <x:c r="I144" s="3"/>
      <x:c r="J144" s="3"/>
      <x:c r="K144" s="4"/>
      <x:c r="L144" s="4">
        <x:f t="shared" si="23"/>
        <x:v>0</x:v>
      </x:c>
      <x:c r="M144" s="5">
        <x:f t="shared" si="22"/>
        <x:v>0</x:v>
      </x:c>
      <x:c r="N144" s="6"/>
      <x:c r="V144" s="1"/>
    </x:row>
    <x:row r="145" spans="1:22" s="2" customFormat="1" ht="20.100000000000001" customHeight="1">
      <x:c r="A145" s="299"/>
      <x:c r="B145" s="3"/>
      <x:c r="C145" s="3"/>
      <x:c r="D145" s="4"/>
      <x:c r="E145" s="4"/>
      <x:c r="F145" s="5">
        <x:f t="shared" si="21"/>
        <x:v>0</x:v>
      </x:c>
      <x:c r="G145" s="6"/>
      <x:c r="H145" s="299"/>
      <x:c r="I145" s="3"/>
      <x:c r="J145" s="3"/>
      <x:c r="K145" s="4"/>
      <x:c r="L145" s="4">
        <x:f t="shared" si="23"/>
        <x:v>0</x:v>
      </x:c>
      <x:c r="M145" s="5">
        <x:f t="shared" si="22"/>
        <x:v>0</x:v>
      </x:c>
      <x:c r="N145" s="6"/>
      <x:c r="V145" s="1"/>
    </x:row>
    <x:row r="146" spans="1:22" s="2" customFormat="1" ht="20.100000000000001" customHeight="1">
      <x:c r="A146" s="299"/>
      <x:c r="B146" s="3"/>
      <x:c r="C146" s="3"/>
      <x:c r="D146" s="4"/>
      <x:c r="E146" s="4"/>
      <x:c r="F146" s="5">
        <x:f t="shared" si="21"/>
        <x:v>0</x:v>
      </x:c>
      <x:c r="G146" s="6"/>
      <x:c r="H146" s="299"/>
      <x:c r="I146" s="3"/>
      <x:c r="J146" s="3"/>
      <x:c r="K146" s="4"/>
      <x:c r="L146" s="4">
        <x:f t="shared" si="23"/>
        <x:v>0</x:v>
      </x:c>
      <x:c r="M146" s="5">
        <x:f t="shared" si="22"/>
        <x:v>0</x:v>
      </x:c>
      <x:c r="N146" s="6"/>
      <x:c r="V146" s="1"/>
    </x:row>
    <x:row r="147" spans="1:22" s="2" customFormat="1" ht="20.100000000000001" customHeight="1">
      <x:c r="A147" s="299"/>
      <x:c r="B147" s="3"/>
      <x:c r="C147" s="3"/>
      <x:c r="D147" s="4"/>
      <x:c r="E147" s="4"/>
      <x:c r="F147" s="5">
        <x:f t="shared" si="21"/>
        <x:v>0</x:v>
      </x:c>
      <x:c r="G147" s="6"/>
      <x:c r="H147" s="299"/>
      <x:c r="I147" s="3"/>
      <x:c r="J147" s="3"/>
      <x:c r="K147" s="4"/>
      <x:c r="L147" s="4">
        <x:f t="shared" si="23"/>
        <x:v>0</x:v>
      </x:c>
      <x:c r="M147" s="5">
        <x:f t="shared" si="22"/>
        <x:v>0</x:v>
      </x:c>
      <x:c r="N147" s="6"/>
      <x:c r="V147" s="1"/>
    </x:row>
    <x:row r="148" spans="1:22" s="2" customFormat="1" ht="20.100000000000001" customHeight="1">
      <x:c r="A148" s="300"/>
      <x:c r="B148" s="3"/>
      <x:c r="C148" s="3"/>
      <x:c r="D148" s="4"/>
      <x:c r="E148" s="4"/>
      <x:c r="F148" s="5"/>
      <x:c r="G148" s="6"/>
      <x:c r="H148" s="300"/>
      <x:c r="I148" s="3"/>
      <x:c r="J148" s="3"/>
      <x:c r="K148" s="4"/>
      <x:c r="L148" s="4">
        <x:f t="shared" si="23"/>
        <x:v>0</x:v>
      </x:c>
      <x:c r="M148" s="5">
        <x:f t="shared" si="22"/>
        <x:v>0</x:v>
      </x:c>
      <x:c r="N148" s="6"/>
      <x:c r="V148" s="1"/>
    </x:row>
    <x:row r="149" spans="1:22" s="2" customFormat="1" ht="20.100000000000001" customHeight="1">
      <x:c r="A149" s="7" t="s">
        <x:v>155</x:v>
      </x:c>
      <x:c r="B149" s="8"/>
      <x:c r="C149" s="8"/>
      <x:c r="D149" s="9">
        <x:f>SUM(D133:D148)</x:f>
        <x:v>220459000</x:v>
      </x:c>
      <x:c r="E149" s="9">
        <x:f>SUM(E133:E148)</x:f>
        <x:v>22045900</x:v>
      </x:c>
      <x:c r="F149" s="10">
        <x:f>SUM(F133:F148)</x:f>
        <x:v>242504900</x:v>
      </x:c>
      <x:c r="G149" s="11"/>
      <x:c r="H149" s="7"/>
      <x:c r="I149" s="8"/>
      <x:c r="J149" s="8"/>
      <x:c r="K149" s="9">
        <x:f>SUM(K133:K148)</x:f>
        <x:v>0</x:v>
      </x:c>
      <x:c r="L149" s="9">
        <x:f>SUM(L133:L148)</x:f>
        <x:v>0</x:v>
      </x:c>
      <x:c r="M149" s="10">
        <x:f>SUM(M133:M148)</x:f>
        <x:v>0</x:v>
      </x:c>
      <x:c r="N149" s="11"/>
      <x:c r="V149" s="1"/>
    </x:row>
    <x:row r="150" spans="1:22" s="2" customFormat="1" ht="20.100000000000001" customHeight="1">
      <x:c r="A150" s="301" t="s">
        <x:v>153</x:v>
      </x:c>
      <x:c r="B150" s="3" t="s">
        <x:v>1241</x:v>
      </x:c>
      <x:c r="C150" s="3" t="s">
        <x:v>1376</x:v>
      </x:c>
      <x:c r="D150" s="44">
        <x:v>19015000</x:v>
      </x:c>
      <x:c r="E150" s="44"/>
      <x:c r="F150" s="45">
        <x:f>+D150+E150</x:f>
        <x:v>19015000</x:v>
      </x:c>
      <x:c r="G150" s="180" t="s">
        <x:v>258</x:v>
      </x:c>
      <x:c r="H150" s="301" t="s">
        <x:v>153</x:v>
      </x:c>
      <x:c r="I150" s="3"/>
      <x:c r="J150" s="3"/>
      <x:c r="K150" s="4"/>
      <x:c r="L150" s="4">
        <x:f>+K150*0.1</x:f>
        <x:v>0</x:v>
      </x:c>
      <x:c r="M150" s="5">
        <x:f>+K150+L150</x:f>
        <x:v>0</x:v>
      </x:c>
      <x:c r="N150" s="6"/>
      <x:c r="V150" s="1"/>
    </x:row>
    <x:row r="151" spans="1:22" s="2" customFormat="1" ht="20.100000000000001" customHeight="1">
      <x:c r="A151" s="299"/>
      <x:c r="B151" s="3"/>
      <x:c r="C151" s="3"/>
      <x:c r="D151" s="44"/>
      <x:c r="E151" s="44">
        <x:f>+D151*0.1</x:f>
        <x:v>0</x:v>
      </x:c>
      <x:c r="F151" s="45">
        <x:f>+D151+E151</x:f>
        <x:v>0</x:v>
      </x:c>
      <x:c r="G151" s="37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  <x:c r="V151" s="1"/>
    </x:row>
    <x:row r="152" spans="1:22" s="2" customFormat="1" ht="20.100000000000001" customHeight="1">
      <x:c r="A152" s="299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299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  <x:c r="V152" s="1"/>
    </x:row>
    <x:row r="153" spans="1:22" s="2" customFormat="1" ht="20.100000000000001" customHeight="1">
      <x:c r="A153" s="300"/>
      <x:c r="B153" s="3"/>
      <x:c r="C153" s="3"/>
      <x:c r="D153" s="4"/>
      <x:c r="E153" s="4">
        <x:f>+D153*0.1</x:f>
        <x:v>0</x:v>
      </x:c>
      <x:c r="F153" s="5">
        <x:f>+D153+E153</x:f>
        <x:v>0</x:v>
      </x:c>
      <x:c r="G153" s="6"/>
      <x:c r="H153" s="300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  <x:c r="V153" s="1"/>
    </x:row>
    <x:row r="154" spans="1:22" s="2" customFormat="1" ht="20.100000000000001" customHeight="1">
      <x:c r="A154" s="7" t="s">
        <x:v>155</x:v>
      </x:c>
      <x:c r="B154" s="8"/>
      <x:c r="C154" s="8"/>
      <x:c r="D154" s="9">
        <x:f>SUM(D150:D153)</x:f>
        <x:v>19015000</x:v>
      </x:c>
      <x:c r="E154" s="9">
        <x:f>SUM(E150:E153)</x:f>
        <x:v>0</x:v>
      </x:c>
      <x:c r="F154" s="10">
        <x:f>SUM(F150:F153)</x:f>
        <x:v>19015000</x:v>
      </x:c>
      <x:c r="G154" s="11"/>
      <x:c r="H154" s="7"/>
      <x:c r="I154" s="8"/>
      <x:c r="J154" s="8"/>
      <x:c r="K154" s="9">
        <x:f>SUM(K150:K153)</x:f>
        <x:v>0</x:v>
      </x:c>
      <x:c r="L154" s="9">
        <x:f>SUM(L150:L153)</x:f>
        <x:v>0</x:v>
      </x:c>
      <x:c r="M154" s="10">
        <x:f>SUM(M150:M153)</x:f>
        <x:v>0</x:v>
      </x:c>
      <x:c r="N154" s="11"/>
      <x:c r="V154" s="1"/>
    </x:row>
    <x:row r="155" spans="1:22" s="2" customFormat="1" ht="20.100000000000001" customHeight="1">
      <x:c r="A155" s="301" t="s">
        <x:v>187</x:v>
      </x:c>
      <x:c r="B155" s="3" t="s">
        <x:v>484</x:v>
      </x:c>
      <x:c r="C155" s="3" t="s">
        <x:v>1373</x:v>
      </x:c>
      <x:c r="D155" s="4">
        <x:v>4600000</x:v>
      </x:c>
      <x:c r="E155" s="4">
        <x:f>+D155*0.1</x:f>
        <x:v>460000</x:v>
      </x:c>
      <x:c r="F155" s="5">
        <x:f>+D155+E155</x:f>
        <x:v>5060000</x:v>
      </x:c>
      <x:c r="G155" s="180" t="s">
        <x:v>258</x:v>
      </x:c>
      <x:c r="H155" s="301" t="s">
        <x:v>187</x:v>
      </x:c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>
        <x:f>+D156+E156</x:f>
        <x:v>0</x:v>
      </x:c>
      <x:c r="G156" s="180"/>
      <x:c r="H156" s="299"/>
      <x:c r="I156" s="3"/>
      <x:c r="J156" s="3"/>
      <x:c r="K156" s="4"/>
      <x:c r="L156" s="4">
        <x:f>+K156*0.1</x:f>
        <x:v>0</x:v>
      </x:c>
      <x:c r="M156" s="5">
        <x:f>+K156+L156</x:f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>
        <x:f>+D157+E157</x:f>
        <x:v>0</x:v>
      </x:c>
      <x:c r="G157" s="180"/>
      <x:c r="H157" s="299"/>
      <x:c r="I157" s="3"/>
      <x:c r="J157" s="3"/>
      <x:c r="K157" s="4"/>
      <x:c r="L157" s="4">
        <x:f>+K157*0.1</x:f>
        <x:v>0</x:v>
      </x:c>
      <x:c r="M157" s="5">
        <x:f>+K157+L157</x:f>
        <x:v>0</x:v>
      </x:c>
      <x:c r="N157" s="6"/>
      <x:c r="V157" s="1"/>
    </x:row>
    <x:row r="158" spans="1:22" s="2" customFormat="1" ht="20.100000000000001" customHeight="1">
      <x:c r="A158" s="300"/>
      <x:c r="B158" s="3"/>
      <x:c r="C158" s="3"/>
      <x:c r="D158" s="4"/>
      <x:c r="E158" s="4"/>
      <x:c r="F158" s="5">
        <x:f>+D158+E158</x:f>
        <x:v>0</x:v>
      </x:c>
      <x:c r="G158" s="6"/>
      <x:c r="H158" s="300"/>
      <x:c r="I158" s="3"/>
      <x:c r="J158" s="3"/>
      <x:c r="K158" s="4"/>
      <x:c r="L158" s="4">
        <x:f>+K158*0.1</x:f>
        <x:v>0</x:v>
      </x:c>
      <x:c r="M158" s="5">
        <x:f>+K158+L158</x:f>
        <x:v>0</x:v>
      </x:c>
      <x:c r="N158" s="6"/>
      <x:c r="V158" s="1"/>
    </x:row>
    <x:row r="159" spans="1:22" s="2" customFormat="1" ht="20.100000000000001" customHeight="1">
      <x:c r="A159" s="7" t="s">
        <x:v>155</x:v>
      </x:c>
      <x:c r="B159" s="8"/>
      <x:c r="C159" s="8"/>
      <x:c r="D159" s="9">
        <x:f>SUM(D155:D158)</x:f>
        <x:v>4600000</x:v>
      </x:c>
      <x:c r="E159" s="9">
        <x:f>SUM(E155:E158)</x:f>
        <x:v>460000</x:v>
      </x:c>
      <x:c r="F159" s="10">
        <x:f>SUM(F155:F158)</x:f>
        <x:v>5060000</x:v>
      </x:c>
      <x:c r="G159" s="11"/>
      <x:c r="H159" s="7"/>
      <x:c r="I159" s="8"/>
      <x:c r="J159" s="8"/>
      <x:c r="K159" s="9">
        <x:f>SUM(K155:K158)</x:f>
        <x:v>0</x:v>
      </x:c>
      <x:c r="L159" s="9">
        <x:f>SUM(L155:L158)</x:f>
        <x:v>0</x:v>
      </x:c>
      <x:c r="M159" s="10">
        <x:f>SUM(M155:M158)</x:f>
        <x:v>0</x:v>
      </x:c>
      <x:c r="N159" s="11"/>
      <x:c r="V159" s="1"/>
    </x:row>
    <x:row r="160" spans="1:22" s="2" customFormat="1" ht="20.100000000000001" customHeight="1">
      <x:c r="A160" s="301" t="s">
        <x:v>149</x:v>
      </x:c>
      <x:c r="B160" s="3" t="s">
        <x:v>1404</x:v>
      </x:c>
      <x:c r="C160" s="3" t="s">
        <x:v>887</x:v>
      </x:c>
      <x:c r="D160" s="4">
        <x:v>13750</x:v>
      </x:c>
      <x:c r="E160" s="4"/>
      <x:c r="F160" s="5">
        <x:f>+D160+E160</x:f>
        <x:v>13750</x:v>
      </x:c>
      <x:c r="G160" s="6" t="s">
        <x:v>489</x:v>
      </x:c>
      <x:c r="H160" s="301" t="s">
        <x:v>149</x:v>
      </x:c>
      <x:c r="I160" s="3"/>
      <x:c r="J160" s="3" t="s">
        <x:v>1440</x:v>
      </x:c>
      <x:c r="K160" s="4">
        <x:f>350000/1.1</x:f>
        <x:v>318181.81818181818</x:v>
      </x:c>
      <x:c r="L160" s="4">
        <x:f>+K160*0.1</x:f>
        <x:v>31818.18181818182</x:v>
      </x:c>
      <x:c r="M160" s="5">
        <x:f t="shared" ref="M160:M167" si="24">+K160+L160</x:f>
        <x:v>350000</x:v>
      </x:c>
      <x:c r="N160" s="6"/>
      <x:c r="V160" s="1"/>
    </x:row>
    <x:row r="161" spans="1:22" s="2" customFormat="1" ht="20.100000000000001" customHeight="1">
      <x:c r="A161" s="299"/>
      <x:c r="B161" s="3" t="s">
        <x:v>1425</x:v>
      </x:c>
      <x:c r="C161" s="3" t="s">
        <x:v>1421</x:v>
      </x:c>
      <x:c r="D161" s="4">
        <x:v>-175000</x:v>
      </x:c>
      <x:c r="E161" s="4"/>
      <x:c r="F161" s="5">
        <x:f>+D161+E161</x:f>
        <x:v>-175000</x:v>
      </x:c>
      <x:c r="G161" s="6"/>
      <x:c r="H161" s="299"/>
      <x:c r="I161" s="3" t="s">
        <x:v>951</x:v>
      </x:c>
      <x:c r="J161" s="3" t="s">
        <x:v>958</x:v>
      </x:c>
      <x:c r="K161" s="4">
        <x:f>2248800/1.1</x:f>
        <x:v>2044363.6363636362</x:v>
      </x:c>
      <x:c r="L161" s="4">
        <x:f>+K161*0.1</x:f>
        <x:v>204436.36363636365</x:v>
      </x:c>
      <x:c r="M161" s="5">
        <x:f t="shared" si="24"/>
        <x:v>2248800</x:v>
      </x:c>
      <x:c r="N161" s="6"/>
      <x:c r="V161" s="1"/>
    </x:row>
    <x:row r="162" spans="1:22" s="2" customFormat="1" ht="20.100000000000001" customHeight="1">
      <x:c r="A162" s="299"/>
      <x:c r="B162" s="3"/>
      <x:c r="C162" s="3"/>
      <x:c r="D162" s="4"/>
      <x:c r="E162" s="4"/>
      <x:c r="F162" s="5">
        <x:f>+D162+E162</x:f>
        <x:v>0</x:v>
      </x:c>
      <x:c r="G162" s="6"/>
      <x:c r="H162" s="299"/>
      <x:c r="I162" s="3"/>
      <x:c r="J162" s="3" t="s">
        <x:v>1427</x:v>
      </x:c>
      <x:c r="K162" s="4">
        <x:f>2433400/1.1</x:f>
        <x:v>2212181.8181818179</x:v>
      </x:c>
      <x:c r="L162" s="4">
        <x:f>+K162*0.1</x:f>
        <x:v>221218.18181818179</x:v>
      </x:c>
      <x:c r="M162" s="5">
        <x:f t="shared" si="24"/>
        <x:v>2433399.9999999995</x:v>
      </x:c>
      <x:c r="N162" s="6"/>
      <x:c r="V162" s="1"/>
    </x:row>
    <x:row r="163" spans="1:22" s="2" customFormat="1" ht="20.100000000000001" customHeight="1">
      <x:c r="A163" s="299"/>
      <x:c r="B163" s="3"/>
      <x:c r="C163" s="3"/>
      <x:c r="D163" s="4"/>
      <x:c r="E163" s="4"/>
      <x:c r="F163" s="5">
        <x:f t="shared" ref="F163:F169" si="25">+D163+E163</x:f>
        <x:v>0</x:v>
      </x:c>
      <x:c r="G163" s="6"/>
      <x:c r="H163" s="299"/>
      <x:c r="I163" s="3"/>
      <x:c r="J163" s="3"/>
      <x:c r="K163" s="4"/>
      <x:c r="L163" s="4"/>
      <x:c r="M163" s="5">
        <x:f t="shared" si="24"/>
        <x:v>0</x:v>
      </x:c>
      <x:c r="N163" s="6"/>
      <x:c r="V163" s="1"/>
    </x:row>
    <x:row r="164" spans="1:22" s="2" customFormat="1" ht="20.100000000000001" customHeight="1">
      <x:c r="A164" s="299"/>
      <x:c r="B164" s="3"/>
      <x:c r="C164" s="3"/>
      <x:c r="D164" s="4"/>
      <x:c r="E164" s="4"/>
      <x:c r="F164" s="5">
        <x:f t="shared" si="25"/>
        <x:v>0</x:v>
      </x:c>
      <x:c r="G164" s="6"/>
      <x:c r="H164" s="299"/>
      <x:c r="I164" s="3"/>
      <x:c r="J164" s="3"/>
      <x:c r="K164" s="4"/>
      <x:c r="L164" s="4">
        <x:f t="shared" ref="L164:L169" si="26">+K164*0.1</x:f>
        <x:v>0</x:v>
      </x:c>
      <x:c r="M164" s="5">
        <x:f t="shared" si="24"/>
        <x:v>0</x:v>
      </x:c>
      <x:c r="N164" s="6"/>
      <x:c r="V164" s="1"/>
    </x:row>
    <x:row r="165" spans="1:22" s="2" customFormat="1" ht="20.100000000000001" customHeight="1">
      <x:c r="A165" s="299"/>
      <x:c r="B165" s="3"/>
      <x:c r="C165" s="3"/>
      <x:c r="D165" s="4"/>
      <x:c r="E165" s="4"/>
      <x:c r="F165" s="5">
        <x:f t="shared" si="25"/>
        <x:v>0</x:v>
      </x:c>
      <x:c r="G165" s="6"/>
      <x:c r="H165" s="299"/>
      <x:c r="I165" s="3"/>
      <x:c r="J165" s="3"/>
      <x:c r="K165" s="4"/>
      <x:c r="L165" s="4">
        <x:f t="shared" si="26"/>
        <x:v>0</x:v>
      </x:c>
      <x:c r="M165" s="5">
        <x:f t="shared" si="24"/>
        <x:v>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 t="shared" si="25"/>
        <x:v>0</x:v>
      </x:c>
      <x:c r="G166" s="6"/>
      <x:c r="H166" s="299"/>
      <x:c r="I166" s="3"/>
      <x:c r="J166" s="3"/>
      <x:c r="K166" s="4"/>
      <x:c r="L166" s="4">
        <x:f t="shared" si="26"/>
        <x:v>0</x:v>
      </x:c>
      <x:c r="M166" s="5">
        <x:f t="shared" si="24"/>
        <x:v>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 t="shared" si="25"/>
        <x:v>0</x:v>
      </x:c>
      <x:c r="G167" s="6"/>
      <x:c r="H167" s="299"/>
      <x:c r="I167" s="3"/>
      <x:c r="J167" s="3"/>
      <x:c r="K167" s="4"/>
      <x:c r="L167" s="4">
        <x:f t="shared" si="26"/>
        <x:v>0</x:v>
      </x:c>
      <x:c r="M167" s="5">
        <x:f t="shared" si="24"/>
        <x:v>0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 t="shared" si="25"/>
        <x:v>0</x:v>
      </x:c>
      <x:c r="G168" s="6"/>
      <x:c r="H168" s="299"/>
      <x:c r="I168" s="3"/>
      <x:c r="J168" s="3"/>
      <x:c r="K168" s="4"/>
      <x:c r="L168" s="4">
        <x:f t="shared" si="26"/>
        <x:v>0</x:v>
      </x:c>
      <x:c r="M168" s="5"/>
      <x:c r="N168" s="6"/>
      <x:c r="V168" s="1"/>
    </x:row>
    <x:row r="169" spans="1:22" s="2" customFormat="1" ht="20.100000000000001" customHeight="1">
      <x:c r="A169" s="300"/>
      <x:c r="B169" s="3"/>
      <x:c r="C169" s="3"/>
      <x:c r="D169" s="4"/>
      <x:c r="E169" s="4"/>
      <x:c r="F169" s="5">
        <x:f t="shared" si="25"/>
        <x:v>0</x:v>
      </x:c>
      <x:c r="G169" s="6"/>
      <x:c r="H169" s="300"/>
      <x:c r="I169" s="3"/>
      <x:c r="J169" s="3"/>
      <x:c r="K169" s="4"/>
      <x:c r="L169" s="4">
        <x:f t="shared" si="26"/>
        <x:v>0</x:v>
      </x:c>
      <x:c r="M169" s="5">
        <x:f>+K169+L169</x:f>
        <x:v>0</x:v>
      </x:c>
      <x:c r="N169" s="6"/>
      <x:c r="V169" s="1"/>
    </x:row>
    <x:row r="170" spans="1:22" s="2" customFormat="1" ht="20.100000000000001" customHeight="1">
      <x:c r="A170" s="7" t="s">
        <x:v>155</x:v>
      </x:c>
      <x:c r="B170" s="8"/>
      <x:c r="C170" s="8"/>
      <x:c r="D170" s="9">
        <x:f>SUM(D160:D169)</x:f>
        <x:v>-161250</x:v>
      </x:c>
      <x:c r="E170" s="9">
        <x:f>SUM(E160:E169)</x:f>
        <x:v>0</x:v>
      </x:c>
      <x:c r="F170" s="10">
        <x:f>SUM(F160:F169)</x:f>
        <x:v>-161250</x:v>
      </x:c>
      <x:c r="G170" s="11"/>
      <x:c r="H170" s="7"/>
      <x:c r="I170" s="8"/>
      <x:c r="J170" s="8"/>
      <x:c r="K170" s="9">
        <x:f>SUM(K160:K169)</x:f>
        <x:v>4574727.2727272725</x:v>
      </x:c>
      <x:c r="L170" s="9">
        <x:f>SUM(L160:L169)</x:f>
        <x:v>457472.72727272729</x:v>
      </x:c>
      <x:c r="M170" s="10">
        <x:f>SUM(M160:M169)</x:f>
        <x:v>5032200</x:v>
      </x:c>
      <x:c r="N170" s="11"/>
      <x:c r="V170" s="1"/>
    </x:row>
    <x:row r="171" spans="1:22" s="2" customFormat="1" ht="20.100000000000001" customHeight="1">
      <x:c r="A171" s="12" t="s">
        <x:v>1690</x:v>
      </x:c>
      <x:c r="B171" s="13"/>
      <x:c r="C171" s="13"/>
      <x:c r="D171" s="14">
        <x:f>+D149+D154+D159+D170</x:f>
        <x:v>243912750</x:v>
      </x:c>
      <x:c r="E171" s="14">
        <x:f>+E149+E154+E159+E170</x:f>
        <x:v>22505900</x:v>
      </x:c>
      <x:c r="F171" s="15">
        <x:f>+F149+F154+F159+F170</x:f>
        <x:v>266418650</x:v>
      </x:c>
      <x:c r="G171" s="16"/>
      <x:c r="H171" s="12"/>
      <x:c r="I171" s="13"/>
      <x:c r="J171" s="13"/>
      <x:c r="K171" s="14">
        <x:f>+K149+K154+K159+K170</x:f>
        <x:v>4574727.2727272725</x:v>
      </x:c>
      <x:c r="L171" s="14">
        <x:f>+L149+L154+L159+L170</x:f>
        <x:v>457472.72727272729</x:v>
      </x:c>
      <x:c r="M171" s="15">
        <x:f>+M149+M154+M159+M170</x:f>
        <x:v>5032200</x:v>
      </x:c>
      <x:c r="N171" s="16"/>
      <x:c r="V171" s="1"/>
    </x:row>
    <x:row r="172" spans="1:22" s="2" customFormat="1" ht="20.100000000000001" customHeight="1">
      <x:c r="A172" s="23" t="s">
        <x:v>35</x:v>
      </x:c>
      <x:c r="B172" s="24"/>
      <x:c r="C172" s="24"/>
      <x:c r="D172" s="25">
        <x:f>+D132-D171</x:f>
        <x:v>64384250</x:v>
      </x:c>
      <x:c r="E172" s="25">
        <x:f>+E132-E171</x:f>
        <x:v>8323800</x:v>
      </x:c>
      <x:c r="F172" s="26">
        <x:f>+F132-F171</x:f>
        <x:v>72708050</x:v>
      </x:c>
      <x:c r="G172" s="27"/>
      <x:c r="H172" s="23"/>
      <x:c r="I172" s="24"/>
      <x:c r="J172" s="24"/>
      <x:c r="K172" s="25">
        <x:f>+K132-K171</x:f>
        <x:v>-4574727.2727272725</x:v>
      </x:c>
      <x:c r="L172" s="25">
        <x:f>+L132-L171</x:f>
        <x:v>-457472.72727272729</x:v>
      </x:c>
      <x:c r="M172" s="26">
        <x:f>+M132-M171</x:f>
        <x:v>-5032200</x:v>
      </x:c>
      <x:c r="N172" s="27"/>
      <x:c r="V172" s="1"/>
    </x:row>
    <x:row r="175" spans="1:22" s="2" customFormat="1">
      <x:c r="A175" s="1" t="s">
        <x:v>148</x:v>
      </x:c>
      <x:c r="B175" s="1"/>
      <x:c r="C175" s="1"/>
      <x:c r="D175" s="2">
        <x:f>+D18+D63+D106+D149</x:f>
        <x:v>283168598</x:v>
      </x:c>
      <x:c r="E175" s="2">
        <x:f>+E18+E63+E106+E149</x:f>
        <x:v>28316858.800000001</x:v>
      </x:c>
      <x:c r="F175" s="2">
        <x:f>+F18+F63+F106+F149</x:f>
        <x:v>311485456.80000001</x:v>
      </x:c>
      <x:c r="H175" s="1"/>
      <x:c r="I175" s="1"/>
      <x:c r="J175" s="1"/>
      <x:c r="K175" s="2">
        <x:f>+K18+K63+K106+K149</x:f>
        <x:v>39145486</x:v>
      </x:c>
      <x:c r="L175" s="2">
        <x:f>+L18+L63+L106+L149</x:f>
        <x:v>3914547.2000000002</x:v>
      </x:c>
      <x:c r="M175" s="2">
        <x:f>+M18+M63+M106+M149</x:f>
        <x:v>43060033.200000003</x:v>
      </x:c>
      <x:c r="V175" s="1"/>
    </x:row>
    <x:row r="176" spans="1:22" s="2" customFormat="1">
      <x:c r="A176" s="1" t="s">
        <x:v>153</x:v>
      </x:c>
      <x:c r="B176" s="1"/>
      <x:c r="C176" s="1"/>
      <x:c r="D176" s="2">
        <x:f>+D24+D68+D111+D154</x:f>
        <x:v>180972500</x:v>
      </x:c>
      <x:c r="E176" s="2">
        <x:f>+E24+E68+E111+E154</x:f>
        <x:v>2951250</x:v>
      </x:c>
      <x:c r="F176" s="2">
        <x:f>+F24+F68+F111+F154</x:f>
        <x:v>183923750</x:v>
      </x:c>
      <x:c r="H176" s="1"/>
      <x:c r="I176" s="1"/>
      <x:c r="J176" s="1"/>
      <x:c r="K176" s="2">
        <x:f>+K24+K68+K111+K154</x:f>
        <x:v>49675000</x:v>
      </x:c>
      <x:c r="L176" s="2">
        <x:f>+L24+L68+L111+L154</x:f>
        <x:v>0</x:v>
      </x:c>
      <x:c r="M176" s="2">
        <x:f>+M24+M68+M111+M154</x:f>
        <x:v>49675000</x:v>
      </x:c>
      <x:c r="V176" s="1"/>
    </x:row>
    <x:row r="177" spans="1:13" s="2" customFormat="1">
      <x:c r="A177" s="1" t="s">
        <x:v>187</x:v>
      </x:c>
      <x:c r="B177" s="1"/>
      <x:c r="C177" s="1"/>
      <x:c r="D177" s="2">
        <x:f>+D29+D73+D116+D159</x:f>
        <x:v>6839000</x:v>
      </x:c>
      <x:c r="E177" s="2">
        <x:f>+E29+E73+E116+E159</x:f>
        <x:v>683900</x:v>
      </x:c>
      <x:c r="F177" s="2">
        <x:f>+F29+F73+F116+F159</x:f>
        <x:v>7522900</x:v>
      </x:c>
      <x:c r="H177" s="1"/>
      <x:c r="I177" s="1"/>
      <x:c r="J177" s="1"/>
      <x:c r="K177" s="2">
        <x:f>+K29+K73+K116+K159</x:f>
        <x:v>0</x:v>
      </x:c>
      <x:c r="L177" s="2">
        <x:f>+L29+L73+L116+L159</x:f>
        <x:v>0</x:v>
      </x:c>
      <x:c r="M177" s="2">
        <x:f>+M29+M73+M116+M159</x:f>
        <x:v>0</x:v>
      </x:c>
    </x:row>
    <x:row r="178" spans="1:13" s="2" customFormat="1">
      <x:c r="A178" s="1" t="s">
        <x:v>149</x:v>
      </x:c>
      <x:c r="B178" s="1"/>
      <x:c r="C178" s="1"/>
      <x:c r="D178" s="2">
        <x:f>+D41+D84+D127+D170</x:f>
        <x:v>10629803</x:v>
      </x:c>
      <x:c r="E178" s="2">
        <x:f>+E41+E84+E127+E170</x:f>
        <x:v>389549</x:v>
      </x:c>
      <x:c r="F178" s="2">
        <x:f>+F41+F84+F127+F170</x:f>
        <x:v>11019352</x:v>
      </x:c>
      <x:c r="H178" s="1"/>
      <x:c r="I178" s="1"/>
      <x:c r="J178" s="1"/>
      <x:c r="K178" s="2">
        <x:f>+K41+K84+K127+K170</x:f>
        <x:v>3174925.2727272725</x:v>
      </x:c>
      <x:c r="L178" s="2">
        <x:f>+L41+L84+L127+L170</x:f>
        <x:v>912004.62727272732</x:v>
      </x:c>
      <x:c r="M178" s="2">
        <x:f>+M41+M84+M127+M170</x:f>
        <x:v>4086929.8999999999</x:v>
      </x:c>
    </x:row>
    <x:row r="179" spans="1:13" s="2" customFormat="1">
      <x:c r="A179" s="1" t="s">
        <x:v>202</x:v>
      </x:c>
      <x:c r="B179" s="1"/>
      <x:c r="C179" s="1"/>
      <x:c r="D179" s="2">
        <x:f>SUM(D175:D178)</x:f>
        <x:v>481609901</x:v>
      </x:c>
      <x:c r="E179" s="2">
        <x:f>SUM(E175:E178)</x:f>
        <x:v>32341557.800000001</x:v>
      </x:c>
      <x:c r="F179" s="2">
        <x:f>SUM(F175:F178)</x:f>
        <x:v>513951458.80000001</x:v>
      </x:c>
      <x:c r="H179" s="1"/>
      <x:c r="I179" s="1"/>
      <x:c r="J179" s="1"/>
      <x:c r="K179" s="2">
        <x:f>SUM(K175:K178)</x:f>
        <x:v>91995411.272727266</x:v>
      </x:c>
      <x:c r="L179" s="2">
        <x:f>SUM(L175:L178)</x:f>
        <x:v>4826551.8272727272</x:v>
      </x:c>
      <x:c r="M179" s="2">
        <x:f>SUM(M175:M178)</x:f>
        <x:v>96821963.100000009</x:v>
      </x:c>
    </x:row>
    <x:row r="182" spans="1:10" s="2" customFormat="1">
      <x:c r="A182" s="1" t="s">
        <x:v>148</x:v>
      </x:c>
      <x:c r="B182" s="1"/>
      <x:c r="C182" s="1"/>
      <x:c r="D182" s="2">
        <x:f>+D175+K175</x:f>
        <x:v>322314084</x:v>
      </x:c>
      <x:c r="E182" s="2">
        <x:f>+E175+L175</x:f>
        <x:v>32231406</x:v>
      </x:c>
      <x:c r="F182" s="2">
        <x:f>+F175+M175</x:f>
        <x:v>354545490</x:v>
      </x:c>
      <x:c r="H182" s="1"/>
      <x:c r="I182" s="1"/>
      <x:c r="J182" s="1"/>
    </x:row>
    <x:row r="183" spans="1:10" s="2" customFormat="1">
      <x:c r="A183" s="1" t="s">
        <x:v>153</x:v>
      </x:c>
      <x:c r="B183" s="1"/>
      <x:c r="C183" s="1"/>
      <x:c r="D183" s="2">
        <x:f t="shared" ref="D183:F185" si="27">+D176+K176</x:f>
        <x:v>230647500</x:v>
      </x:c>
      <x:c r="E183" s="2">
        <x:f t="shared" si="27"/>
        <x:v>2951250</x:v>
      </x:c>
      <x:c r="F183" s="2">
        <x:f t="shared" si="27"/>
        <x:v>233598750</x:v>
      </x:c>
      <x:c r="H183" s="1"/>
      <x:c r="I183" s="1"/>
      <x:c r="J183" s="1"/>
    </x:row>
    <x:row r="184" spans="1:10" s="2" customFormat="1">
      <x:c r="A184" s="1" t="s">
        <x:v>187</x:v>
      </x:c>
      <x:c r="B184" s="1"/>
      <x:c r="C184" s="1"/>
      <x:c r="D184" s="2">
        <x:f t="shared" si="27"/>
        <x:v>6839000</x:v>
      </x:c>
      <x:c r="E184" s="2">
        <x:f t="shared" si="27"/>
        <x:v>683900</x:v>
      </x:c>
      <x:c r="F184" s="2">
        <x:f t="shared" si="27"/>
        <x:v>7522900</x:v>
      </x:c>
      <x:c r="H184" s="1"/>
      <x:c r="I184" s="1"/>
      <x:c r="J184" s="1"/>
    </x:row>
    <x:row r="185" spans="1:10" s="2" customFormat="1">
      <x:c r="A185" s="1" t="s">
        <x:v>149</x:v>
      </x:c>
      <x:c r="B185" s="1"/>
      <x:c r="C185" s="1"/>
      <x:c r="D185" s="2">
        <x:f t="shared" si="27"/>
        <x:v>13804728.272727273</x:v>
      </x:c>
      <x:c r="E185" s="2">
        <x:f t="shared" si="27"/>
        <x:v>1301553.6272727274</x:v>
      </x:c>
      <x:c r="F185" s="2">
        <x:f t="shared" si="27"/>
        <x:v>15106281.9</x:v>
      </x:c>
      <x:c r="H185" s="1"/>
      <x:c r="I185" s="1"/>
      <x:c r="J185" s="1"/>
    </x:row>
    <x:row r="186" spans="1:10" s="2" customFormat="1">
      <x:c r="A186" s="1" t="s">
        <x:v>1019</x:v>
      </x:c>
      <x:c r="B186" s="1"/>
      <x:c r="C186" s="1"/>
      <x:c r="D186" s="2">
        <x:f>SUM(D182:D185)</x:f>
        <x:v>573605312.27272725</x:v>
      </x:c>
      <x:c r="E186" s="2">
        <x:f>SUM(E182:E185)</x:f>
        <x:v>37168109.627272725</x:v>
      </x:c>
      <x:c r="F186" s="2">
        <x:f>SUM(F182:F185)</x:f>
        <x:v>610773421.89999998</x:v>
      </x:c>
      <x:c r="H186" s="1"/>
      <x:c r="I186" s="1"/>
      <x:c r="J186" s="1"/>
    </x:row>
    <x:row r="187" spans="1:10" s="2" customFormat="1">
      <x:c r="A187" s="1" t="s">
        <x:v>151</x:v>
      </x:c>
      <x:c r="B187" s="1"/>
      <x:c r="C187" s="1"/>
      <x:c r="D187" s="2">
        <x:f>D4+D46+D89+K4+K46+K89+D132+K132</x:f>
        <x:v>712113364</x:v>
      </x:c>
      <x:c r="E187" s="2">
        <x:f>E4+E46+E89+L4+L46+L89</x:f>
        <x:v>18190636.399999999</x:v>
      </x:c>
      <x:c r="F187" s="2">
        <x:f>F4+F46+F89+M4+M46+M89</x:f>
        <x:v>422007000.39999998</x:v>
      </x:c>
      <x:c r="H187" s="1"/>
      <x:c r="I187" s="1"/>
      <x:c r="J187" s="1"/>
    </x:row>
    <x:row r="188" spans="1:10" s="2" customFormat="1">
      <x:c r="A188" s="1" t="s">
        <x:v>632</x:v>
      </x:c>
      <x:c r="B188" s="1"/>
      <x:c r="C188" s="1"/>
      <x:c r="D188" s="2">
        <x:f>+D187-D186</x:f>
        <x:v>138508051.72727275</x:v>
      </x:c>
      <x:c r="E188" s="2">
        <x:f>+E187-E186</x:f>
        <x:v>-18977473.227272727</x:v>
      </x:c>
      <x:c r="F188" s="2">
        <x:f>+F187-F186</x:f>
        <x:v>-188766421.5</x:v>
      </x:c>
      <x:c r="H188" s="1"/>
      <x:c r="I188" s="1"/>
      <x:c r="J188" s="1"/>
    </x:row>
  </x:sheetData>
  <x:mergeCells count="42">
    <x:mergeCell ref="A150:A153"/>
    <x:mergeCell ref="H150:H153"/>
    <x:mergeCell ref="A155:A158"/>
    <x:mergeCell ref="H155:H158"/>
    <x:mergeCell ref="A160:A169"/>
    <x:mergeCell ref="H160:H169"/>
    <x:mergeCell ref="A117:A126"/>
    <x:mergeCell ref="H117:H126"/>
    <x:mergeCell ref="A130:G130"/>
    <x:mergeCell ref="H130:N130"/>
    <x:mergeCell ref="A133:A148"/>
    <x:mergeCell ref="H133:H148"/>
    <x:mergeCell ref="A90:A105"/>
    <x:mergeCell ref="H90:H105"/>
    <x:mergeCell ref="A107:A110"/>
    <x:mergeCell ref="H107:H110"/>
    <x:mergeCell ref="A112:A115"/>
    <x:mergeCell ref="H112:H115"/>
    <x:mergeCell ref="A69:A72"/>
    <x:mergeCell ref="H69:H72"/>
    <x:mergeCell ref="A74:A83"/>
    <x:mergeCell ref="H74:H83"/>
    <x:mergeCell ref="A87:G87"/>
    <x:mergeCell ref="H87:N87"/>
    <x:mergeCell ref="A44:G44"/>
    <x:mergeCell ref="H44:N44"/>
    <x:mergeCell ref="A47:A62"/>
    <x:mergeCell ref="H47:H62"/>
    <x:mergeCell ref="A64:A67"/>
    <x:mergeCell ref="H64:H67"/>
    <x:mergeCell ref="A19:A23"/>
    <x:mergeCell ref="H19:H23"/>
    <x:mergeCell ref="A25:A28"/>
    <x:mergeCell ref="H25:H28"/>
    <x:mergeCell ref="A30:A40"/>
    <x:mergeCell ref="H30:H40"/>
    <x:mergeCell ref="A1:N1"/>
    <x:mergeCell ref="O1:S1"/>
    <x:mergeCell ref="A2:G2"/>
    <x:mergeCell ref="H2:N2"/>
    <x:mergeCell ref="A5:A17"/>
    <x:mergeCell ref="H5:H17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3" min="0" max="1048575" man="1" pt="0"/>
    <x:brk id="86" min="0" max="1048575" man="1" pt="0"/>
    <x:brk id="129" min="0" max="1048575" man="1" pt="0"/>
  </x:rowBreaks>
</x:worksheet>
</file>

<file path=xl/worksheets/sheet5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9"/>
  <x:dimension ref="A1:S115"/>
  <x:sheetViews>
    <x:sheetView view="pageBreakPreview" topLeftCell="A1" zoomScaleNormal="100" zoomScaleSheetLayoutView="100" workbookViewId="0">
      <x:selection activeCell="B7" activeCellId="0" sqref="B7:B7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1785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06"/>
      <x:c r="C2" s="206"/>
      <x:c r="D2" s="206"/>
      <x:c r="E2" s="206"/>
      <x:c r="F2" s="206"/>
      <x:c r="G2" s="206"/>
      <x:c r="H2" s="206"/>
      <x:c r="I2" s="206"/>
      <x:c r="J2" s="206"/>
      <x:c r="K2" s="206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08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'21년07월(세부내역)'!D4</x:f>
        <x:v>193909091</x:v>
      </x:c>
      <x:c r="F5" s="67">
        <x:f>'21년07월(세부내역)'!D18</x:f>
        <x:v>58773965</x:v>
      </x:c>
      <x:c r="G5" s="67">
        <x:f>'21년07월(세부내역)'!D24</x:f>
        <x:v>126547500</x:v>
      </x:c>
      <x:c r="H5" s="67">
        <x:f>'21년07월(세부내역)'!D29</x:f>
        <x:v>800000</x:v>
      </x:c>
      <x:c r="I5" s="67">
        <x:f>'21년07월(세부내역)'!D41</x:f>
        <x:v>3895380</x:v>
      </x:c>
      <x:c r="J5" s="75">
        <x:f t="shared" ref="J5:J12" si="0">+SUM(F5:I5)</x:f>
        <x:v>190016845</x:v>
      </x:c>
      <x:c r="K5" s="141">
        <x:f t="shared" ref="K5:K12" si="1">E5-J5</x:f>
        <x:v>3892246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140</x:v>
      </x:c>
      <x:c r="E6" s="74">
        <x:f>'21년07월(세부내역)'!K4</x:f>
        <x:v>0</x:v>
      </x:c>
      <x:c r="F6" s="59">
        <x:f>+'21년07월(세부내역)'!K18</x:f>
        <x:v>315720</x:v>
      </x:c>
      <x:c r="G6" s="59">
        <x:f>'21년07월(세부내역)'!K24</x:f>
        <x:v>12570000</x:v>
      </x:c>
      <x:c r="H6" s="59">
        <x:f>'21년07월(세부내역)'!K29</x:f>
        <x:v>0</x:v>
      </x:c>
      <x:c r="I6" s="59">
        <x:f>'21년07월(세부내역)'!K41</x:f>
        <x:v>3613312</x:v>
      </x:c>
      <x:c r="J6" s="75">
        <x:f t="shared" si="0"/>
        <x:v>16499032</x:v>
      </x:c>
      <x:c r="K6" s="140">
        <x:f t="shared" si="1"/>
        <x:v>-16499032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'21년07월(세부내역)'!K46</x:f>
        <x:v>0</x:v>
      </x:c>
      <x:c r="F7" s="59">
        <x:f>'21년07월(세부내역)'!K63</x:f>
        <x:v>11206005</x:v>
      </x:c>
      <x:c r="G7" s="59">
        <x:f>'21년07월(세부내역)'!K68</x:f>
        <x:v>24585000</x:v>
      </x:c>
      <x:c r="H7" s="59">
        <x:f>'21년07월(세부내역)'!K73</x:f>
        <x:v>60000</x:v>
      </x:c>
      <x:c r="I7" s="59">
        <x:f>'21년07월(세부내역)'!K84</x:f>
        <x:v>3846371</x:v>
      </x:c>
      <x:c r="J7" s="75">
        <x:f t="shared" si="0"/>
        <x:v>39697376</x:v>
      </x:c>
      <x:c r="K7" s="141">
        <x:f t="shared" si="1"/>
        <x:v>-39697376</x:v>
      </x:c>
      <x:c r="L7" s="204"/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95</x:v>
      </x:c>
      <x:c r="E8" s="74">
        <x:f>'21년07월(세부내역)'!D89</x:f>
        <x:v>47000000</x:v>
      </x:c>
      <x:c r="F8" s="59">
        <x:f>'21년07월(세부내역)'!D106</x:f>
        <x:v>30188668</x:v>
      </x:c>
      <x:c r="G8" s="59">
        <x:f>'21년07월(세부내역)'!D111</x:f>
        <x:v>18510000</x:v>
      </x:c>
      <x:c r="H8" s="59">
        <x:f>'21년07월(세부내역)'!D116</x:f>
        <x:v>1718000</x:v>
      </x:c>
      <x:c r="I8" s="59">
        <x:f>'21년07월(세부내역)'!D127</x:f>
        <x:v>2192210</x:v>
      </x:c>
      <x:c r="J8" s="75">
        <x:f t="shared" si="0"/>
        <x:v>52608878</x:v>
      </x:c>
      <x:c r="K8" s="141">
        <x:f t="shared" si="1"/>
        <x:v>-5608878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'21년07월(세부내역)'!K89</x:f>
        <x:v>29000000</x:v>
      </x:c>
      <x:c r="F9" s="59">
        <x:f>'21년07월(세부내역)'!K106</x:f>
        <x:v>12917650</x:v>
      </x:c>
      <x:c r="G9" s="59">
        <x:f>'21년07월(세부내역)'!K111</x:f>
        <x:v>15395000</x:v>
      </x:c>
      <x:c r="H9" s="59">
        <x:f>'21년07월(세부내역)'!K116</x:f>
        <x:v>0</x:v>
      </x:c>
      <x:c r="I9" s="59">
        <x:f>'21년07월(세부내역)'!K127</x:f>
        <x:v>1392240</x:v>
      </x:c>
      <x:c r="J9" s="75">
        <x:f t="shared" si="0"/>
        <x:v>29704890</x:v>
      </x:c>
      <x:c r="K9" s="141">
        <x:f t="shared" si="1"/>
        <x:v>-704890</x:v>
      </x:c>
      <x:c r="L9" s="204"/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'21년07월(세부내역)'!D132</x:f>
        <x:v>46430000</x:v>
      </x:c>
      <x:c r="F10" s="59">
        <x:f>'21년07월(세부내역)'!D149</x:f>
        <x:v>22583400</x:v>
      </x:c>
      <x:c r="G10" s="59">
        <x:f>'21년07월(세부내역)'!D154</x:f>
        <x:v>3060000</x:v>
      </x:c>
      <x:c r="H10" s="59">
        <x:f>'21년07월(세부내역)'!D159</x:f>
        <x:v>800000</x:v>
      </x:c>
      <x:c r="I10" s="59">
        <x:f>'21년07월(세부내역)'!D170</x:f>
        <x:v>8470</x:v>
      </x:c>
      <x:c r="J10" s="75">
        <x:f t="shared" si="0"/>
        <x:v>26451870</x:v>
      </x:c>
      <x:c r="K10" s="141">
        <x:f t="shared" si="1"/>
        <x:v>19978130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'21년07월(세부내역)'!D46</x:f>
        <x:v>50000000</x:v>
      </x:c>
      <x:c r="F11" s="59">
        <x:f>+'21년07월(세부내역)'!D63</x:f>
        <x:v>37973986</x:v>
      </x:c>
      <x:c r="G11" s="59">
        <x:f>'21년07월(세부내역)'!D68</x:f>
        <x:v>78600000</x:v>
      </x:c>
      <x:c r="H11" s="59">
        <x:f>'21년07월(세부내역)'!D73</x:f>
        <x:v>600000</x:v>
      </x:c>
      <x:c r="I11" s="59">
        <x:f>'21년07월(세부내역)'!D84</x:f>
        <x:v>1438675</x:v>
      </x:c>
      <x:c r="J11" s="75">
        <x:f t="shared" si="0"/>
        <x:v>118612661</x:v>
      </x:c>
      <x:c r="K11" s="141">
        <x:f>E11-J11</x:f>
        <x:v>-68612661</x:v>
      </x:c>
      <x:c r="L11" s="205" t="s">
        <x:v>258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'21년07월(세부내역)'!K132</x:f>
        <x:v>0</x:v>
      </x:c>
      <x:c r="F12" s="59">
        <x:f>'21년07월(세부내역)'!K149</x:f>
        <x:v>744000</x:v>
      </x:c>
      <x:c r="G12" s="59">
        <x:f>+'21년07월(세부내역)'!K154</x:f>
        <x:v>3630000</x:v>
      </x:c>
      <x:c r="H12" s="59">
        <x:f>+'21년07월(세부내역)'!K159</x:f>
        <x:v>0</x:v>
      </x:c>
      <x:c r="I12" s="59">
        <x:f>+'21년07월(세부내역)'!K170</x:f>
        <x:v>8325850</x:v>
      </x:c>
      <x:c r="J12" s="75">
        <x:f t="shared" si="0"/>
        <x:v>12699850</x:v>
      </x:c>
      <x:c r="K12" s="141">
        <x:f t="shared" si="1"/>
        <x:v>-12699850</x:v>
      </x:c>
      <x:c r="L12" s="204"/>
    </x:row>
    <x:row r="13" spans="1:12" ht="30" customHeight="1">
      <x:c r="A13" s="64"/>
      <x:c r="B13" s="64" t="s">
        <x:v>1690</x:v>
      </x:c>
      <x:c r="C13" s="64"/>
      <x:c r="D13" s="64"/>
      <x:c r="E13" s="68">
        <x:f t="shared" ref="E13:K13" si="2">SUM(E5:E12)</x:f>
        <x:v>366339091</x:v>
      </x:c>
      <x:c r="F13" s="66">
        <x:f t="shared" si="2"/>
        <x:v>174703394</x:v>
      </x:c>
      <x:c r="G13" s="66">
        <x:f t="shared" si="2"/>
        <x:v>282897500</x:v>
      </x:c>
      <x:c r="H13" s="66">
        <x:f t="shared" si="2"/>
        <x:v>3978000</x:v>
      </x:c>
      <x:c r="I13" s="66">
        <x:f t="shared" si="2"/>
        <x:v>24712508</x:v>
      </x:c>
      <x:c r="J13" s="69">
        <x:f t="shared" si="2"/>
        <x:v>486291402</x:v>
      </x:c>
      <x:c r="K13" s="142">
        <x:f t="shared" si="2"/>
        <x:v>-119952311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6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0"/>
  <x:dimension ref="A1:V188"/>
  <x:sheetViews>
    <x:sheetView view="pageBreakPreview" topLeftCell="A34" zoomScaleNormal="100" zoomScaleSheetLayoutView="100" workbookViewId="0">
      <x:selection activeCell="D58" activeCellId="0" sqref="D58:D59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1804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08" t="s">
        <x:v>144</x:v>
      </x:c>
      <x:c r="C3" s="208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08" t="s">
        <x:v>144</x:v>
      </x:c>
      <x:c r="J3" s="208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193909091</x:v>
      </x:c>
      <x:c r="E4" s="39">
        <x:v>6090909</x:v>
      </x:c>
      <x:c r="F4" s="40">
        <x:f>+D4+E4</x:f>
        <x:v>200000000</x:v>
      </x:c>
      <x:c r="G4" s="42"/>
      <x:c r="H4" s="207" t="s">
        <x:v>151</x:v>
      </x:c>
      <x:c r="I4" s="38" t="s">
        <x:v>1679</x:v>
      </x:c>
      <x:c r="J4" s="38" t="s">
        <x:v>1030</x:v>
      </x:c>
      <x:c r="K4" s="39"/>
      <x:c r="L4" s="39"/>
      <x:c r="M4" s="40">
        <x:f>+K4+L4</x:f>
        <x:v>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143</x:v>
      </x:c>
      <x:c r="D5" s="212">
        <x:v>33885625</x:v>
      </x:c>
      <x:c r="E5" s="212">
        <x:f t="shared" ref="E5:E12" si="0">+INT(D5*0.1)</x:f>
        <x:v>3388562</x:v>
      </x:c>
      <x:c r="F5" s="213">
        <x:f>+D5+E5</x:f>
        <x:v>37274187</x:v>
      </x:c>
      <x:c r="G5" s="169"/>
      <x:c r="H5" s="298" t="s">
        <x:v>148</x:v>
      </x:c>
      <x:c r="I5" s="19" t="s">
        <x:v>838</x:v>
      </x:c>
      <x:c r="J5" s="19"/>
      <x:c r="K5" s="20"/>
      <x:c r="L5" s="20">
        <x:f t="shared" ref="L5:L12" si="1">+INT(K5*0.1)</x:f>
        <x:v>0</x:v>
      </x:c>
      <x:c r="M5" s="21">
        <x:f t="shared" ref="M5:M23" si="2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1189</x:v>
      </x:c>
      <x:c r="D6" s="163">
        <x:v>10431190</x:v>
      </x:c>
      <x:c r="E6" s="44">
        <x:f t="shared" si="0"/>
        <x:v>1043119</x:v>
      </x:c>
      <x:c r="F6" s="164">
        <x:f>+D6+E6</x:f>
        <x:v>11474309</x:v>
      </x:c>
      <x:c r="G6" s="203"/>
      <x:c r="H6" s="299"/>
      <x:c r="I6" s="3" t="s">
        <x:v>867</x:v>
      </x:c>
      <x:c r="J6" s="3"/>
      <x:c r="K6" s="4"/>
      <x:c r="L6" s="4">
        <x:f t="shared" si="1"/>
        <x:v>0</x:v>
      </x:c>
      <x:c r="M6" s="5">
        <x:f t="shared" si="2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1183</x:v>
      </x:c>
      <x:c r="D7" s="4">
        <x:v>1566000</x:v>
      </x:c>
      <x:c r="E7" s="4">
        <x:f t="shared" si="0"/>
        <x:v>156600</x:v>
      </x:c>
      <x:c r="F7" s="5">
        <x:f>+D7+E7</x:f>
        <x:v>1722600</x:v>
      </x:c>
      <x:c r="G7" s="180"/>
      <x:c r="H7" s="299"/>
      <x:c r="I7" s="3" t="s">
        <x:v>854</x:v>
      </x:c>
      <x:c r="J7" s="3" t="s">
        <x:v>765</x:v>
      </x:c>
      <x:c r="K7" s="4">
        <x:v>125200</x:v>
      </x:c>
      <x:c r="L7" s="4">
        <x:f t="shared" si="1"/>
        <x:v>12520</x:v>
      </x:c>
      <x:c r="M7" s="5">
        <x:f t="shared" si="2"/>
        <x:v>137720</x:v>
      </x:c>
      <x:c r="N7" s="6"/>
    </x:row>
    <x:row r="8" spans="1:14" ht="20.100000000000001" customHeight="1">
      <x:c r="A8" s="299"/>
      <x:c r="B8" s="3" t="s">
        <x:v>907</x:v>
      </x:c>
      <x:c r="C8" s="162"/>
      <x:c r="D8" s="163"/>
      <x:c r="E8" s="4">
        <x:f t="shared" si="0"/>
        <x:v>0</x:v>
      </x:c>
      <x:c r="F8" s="45">
        <x:f t="shared" ref="F8:F15" si="3">+D8+E8</x:f>
        <x:v>0</x:v>
      </x:c>
      <x:c r="G8" s="179"/>
      <x:c r="H8" s="299"/>
      <x:c r="I8" s="3" t="s">
        <x:v>1348</x:v>
      </x:c>
      <x:c r="J8" s="3" t="s">
        <x:v>433</x:v>
      </x:c>
      <x:c r="K8" s="4">
        <x:v>28500</x:v>
      </x:c>
      <x:c r="L8" s="4">
        <x:f t="shared" si="1"/>
        <x:v>2850</x:v>
      </x:c>
      <x:c r="M8" s="5">
        <x:f t="shared" si="2"/>
        <x:v>31350</x:v>
      </x:c>
      <x:c r="N8" s="6"/>
    </x:row>
    <x:row r="9" spans="1:14" ht="20.100000000000001" customHeight="1">
      <x:c r="A9" s="299"/>
      <x:c r="B9" s="3" t="s">
        <x:v>1119</x:v>
      </x:c>
      <x:c r="C9" s="162" t="s">
        <x:v>717</x:v>
      </x:c>
      <x:c r="D9" s="163">
        <x:v>565000</x:v>
      </x:c>
      <x:c r="E9" s="4">
        <x:f t="shared" si="0"/>
        <x:v>56500</x:v>
      </x:c>
      <x:c r="F9" s="45">
        <x:f t="shared" si="3"/>
        <x:v>621500</x:v>
      </x:c>
      <x:c r="G9" s="37"/>
      <x:c r="H9" s="299"/>
      <x:c r="I9" s="3" t="s">
        <x:v>846</x:v>
      </x:c>
      <x:c r="J9" s="3" t="s">
        <x:v>767</x:v>
      </x:c>
      <x:c r="K9" s="4">
        <x:v>162020</x:v>
      </x:c>
      <x:c r="L9" s="4">
        <x:f t="shared" si="1"/>
        <x:v>16202</x:v>
      </x:c>
      <x:c r="M9" s="5">
        <x:f t="shared" si="2"/>
        <x:v>178222</x:v>
      </x:c>
      <x:c r="N9" s="6"/>
    </x:row>
    <x:row r="10" spans="1:14" ht="20.100000000000001" customHeight="1">
      <x:c r="A10" s="299"/>
      <x:c r="B10" s="3" t="s">
        <x:v>846</x:v>
      </x:c>
      <x:c r="C10" s="3" t="s">
        <x:v>1483</x:v>
      </x:c>
      <x:c r="D10" s="4">
        <x:v>4706300</x:v>
      </x:c>
      <x:c r="E10" s="4">
        <x:f t="shared" si="0"/>
        <x:v>470630</x:v>
      </x:c>
      <x:c r="F10" s="5">
        <x:f t="shared" si="3"/>
        <x:v>5176930</x:v>
      </x:c>
      <x:c r="G10" s="37"/>
      <x:c r="H10" s="299"/>
      <x:c r="I10" s="3" t="s">
        <x:v>967</x:v>
      </x:c>
      <x:c r="J10" s="3" t="s">
        <x:v>1337</x:v>
      </x:c>
      <x:c r="K10" s="4"/>
      <x:c r="L10" s="4">
        <x:f t="shared" si="1"/>
        <x:v>0</x:v>
      </x:c>
      <x:c r="M10" s="5">
        <x:f t="shared" si="2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1808</x:v>
      </x:c>
      <x:c r="D11" s="4">
        <x:v>1760000</x:v>
      </x:c>
      <x:c r="E11" s="4">
        <x:f t="shared" si="0"/>
        <x:v>176000</x:v>
      </x:c>
      <x:c r="F11" s="5">
        <x:f t="shared" si="3"/>
        <x:v>1936000</x:v>
      </x:c>
      <x:c r="G11" s="6"/>
      <x:c r="H11" s="299"/>
      <x:c r="I11" s="3" t="s">
        <x:v>1016</x:v>
      </x:c>
      <x:c r="J11" s="3" t="s">
        <x:v>1231</x:v>
      </x:c>
      <x:c r="K11" s="4"/>
      <x:c r="L11" s="4">
        <x:f t="shared" si="1"/>
        <x:v>0</x:v>
      </x:c>
      <x:c r="M11" s="5">
        <x:f t="shared" si="2"/>
        <x:v>0</x:v>
      </x:c>
      <x:c r="N11" s="6"/>
    </x:row>
    <x:row r="12" spans="1:14" ht="20.100000000000001" customHeight="1">
      <x:c r="A12" s="299"/>
      <x:c r="B12" s="162" t="s">
        <x:v>1449</x:v>
      </x:c>
      <x:c r="C12" s="162" t="s">
        <x:v>1293</x:v>
      </x:c>
      <x:c r="D12" s="163">
        <x:v>1020000</x:v>
      </x:c>
      <x:c r="E12" s="4">
        <x:f t="shared" si="0"/>
        <x:v>102000</x:v>
      </x:c>
      <x:c r="F12" s="45">
        <x:f t="shared" si="3"/>
        <x:v>1122000</x:v>
      </x:c>
      <x:c r="G12" s="37"/>
      <x:c r="H12" s="299"/>
      <x:c r="I12" s="3"/>
      <x:c r="J12" s="3"/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 t="s">
        <x:v>938</x:v>
      </x:c>
      <x:c r="C13" s="3" t="s">
        <x:v>1094</x:v>
      </x:c>
      <x:c r="D13" s="4">
        <x:v>1600000</x:v>
      </x:c>
      <x:c r="E13" s="4">
        <x:f>+D13*0.1</x:f>
        <x:v>160000</x:v>
      </x:c>
      <x:c r="F13" s="45">
        <x:f t="shared" si="3"/>
        <x:v>1760000</x:v>
      </x:c>
      <x:c r="G13" s="37"/>
      <x:c r="H13" s="299"/>
      <x:c r="I13" s="3"/>
      <x:c r="J13" s="3"/>
      <x:c r="K13" s="4"/>
      <x:c r="L13" s="4"/>
      <x:c r="M13" s="5">
        <x:f t="shared" si="2"/>
        <x:v>0</x:v>
      </x:c>
      <x:c r="N13" s="6"/>
    </x:row>
    <x:row r="14" spans="1:14" ht="20.100000000000001" customHeight="1">
      <x:c r="A14" s="299"/>
      <x:c r="B14" s="162" t="s">
        <x:v>1378</x:v>
      </x:c>
      <x:c r="C14" s="162" t="s">
        <x:v>1447</x:v>
      </x:c>
      <x:c r="D14" s="163">
        <x:v>481850</x:v>
      </x:c>
      <x:c r="E14" s="4">
        <x:f>+INT(D14*0.1)</x:f>
        <x:v>48185</x:v>
      </x:c>
      <x:c r="F14" s="45">
        <x:f t="shared" si="3"/>
        <x:v>530035</x:v>
      </x:c>
      <x:c r="G14" s="6"/>
      <x:c r="H14" s="299"/>
      <x:c r="I14" s="3"/>
      <x:c r="J14" s="3"/>
      <x:c r="K14" s="4"/>
      <x:c r="L14" s="4"/>
      <x:c r="M14" s="5">
        <x:f t="shared" si="2"/>
        <x:v>0</x:v>
      </x:c>
      <x:c r="N14" s="6"/>
    </x:row>
    <x:row r="15" spans="1:14" ht="20.100000000000001" customHeight="1">
      <x:c r="A15" s="299"/>
      <x:c r="B15" s="3" t="s">
        <x:v>976</x:v>
      </x:c>
      <x:c r="C15" s="3" t="s">
        <x:v>1460</x:v>
      </x:c>
      <x:c r="D15" s="4">
        <x:v>2758000</x:v>
      </x:c>
      <x:c r="E15" s="4">
        <x:f>+D15*0.1</x:f>
        <x:v>275800</x:v>
      </x:c>
      <x:c r="F15" s="45">
        <x:f t="shared" si="3"/>
        <x:v>3033800</x:v>
      </x:c>
      <x:c r="G15" s="37"/>
      <x:c r="H15" s="299"/>
      <x:c r="I15" s="3"/>
      <x:c r="J15" s="3"/>
      <x:c r="K15" s="4"/>
      <x:c r="L15" s="4"/>
      <x:c r="M15" s="5">
        <x:f t="shared" si="2"/>
        <x:v>0</x:v>
      </x:c>
      <x:c r="N15" s="6"/>
    </x:row>
    <x:row r="16" spans="1:14" ht="20.100000000000001" customHeight="1">
      <x:c r="A16" s="299"/>
      <x:c r="B16" s="3"/>
      <x:c r="C16" s="3"/>
      <x:c r="D16" s="4"/>
      <x:c r="E16" s="4">
        <x:f>+D16*0.1</x:f>
        <x:v>0</x:v>
      </x:c>
      <x:c r="F16" s="45">
        <x:f>+D16+E16</x:f>
        <x:v>0</x:v>
      </x:c>
      <x:c r="G16" s="6"/>
      <x:c r="H16" s="299"/>
      <x:c r="I16" s="3"/>
      <x:c r="J16" s="3"/>
      <x:c r="K16" s="4"/>
      <x:c r="L16" s="4"/>
      <x:c r="M16" s="5">
        <x:f t="shared" si="2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>
        <x:f>+D17*0.1</x:f>
        <x:v>0</x:v>
      </x:c>
      <x:c r="F17" s="45">
        <x:f>+D17+E17</x:f>
        <x:v>0</x:v>
      </x:c>
      <x:c r="G17" s="6"/>
      <x:c r="H17" s="300"/>
      <x:c r="I17" s="3"/>
      <x:c r="J17" s="3"/>
      <x:c r="K17" s="4"/>
      <x:c r="L17" s="4"/>
      <x:c r="M17" s="5">
        <x:f t="shared" si="2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SUM(D5:D17)</x:f>
        <x:v>58773965</x:v>
      </x:c>
      <x:c r="E18" s="9">
        <x:f>SUM(E5:E17)</x:f>
        <x:v>5877396</x:v>
      </x:c>
      <x:c r="F18" s="10">
        <x:f>SUM(F5:F17)</x:f>
        <x:v>64651361</x:v>
      </x:c>
      <x:c r="G18" s="11"/>
      <x:c r="H18" s="7"/>
      <x:c r="I18" s="8"/>
      <x:c r="J18" s="8"/>
      <x:c r="K18" s="9">
        <x:f>SUM(K5:K17)</x:f>
        <x:v>315720</x:v>
      </x:c>
      <x:c r="L18" s="9">
        <x:f>SUM(L5:L17)</x:f>
        <x:v>31572</x:v>
      </x:c>
      <x:c r="M18" s="10">
        <x:f>SUM(M5:M17)</x:f>
        <x:v>347292</x:v>
      </x:c>
      <x:c r="N18" s="11"/>
    </x:row>
    <x:row r="19" spans="1:14" ht="20.100000000000001" customHeight="1">
      <x:c r="A19" s="301" t="s">
        <x:v>153</x:v>
      </x:c>
      <x:c r="B19" s="3" t="s">
        <x:v>1677</x:v>
      </x:c>
      <x:c r="C19" s="3" t="s">
        <x:v>1079</x:v>
      </x:c>
      <x:c r="D19" s="44">
        <x:v>34890000</x:v>
      </x:c>
      <x:c r="E19" s="44"/>
      <x:c r="F19" s="45">
        <x:f>+D19+E19</x:f>
        <x:v>34890000</x:v>
      </x:c>
      <x:c r="G19" s="37"/>
      <x:c r="H19" s="301" t="s">
        <x:v>153</x:v>
      </x:c>
      <x:c r="I19" s="3" t="s">
        <x:v>1677</x:v>
      </x:c>
      <x:c r="J19" s="3" t="s">
        <x:v>1083</x:v>
      </x:c>
      <x:c r="K19" s="4">
        <x:v>12570000</x:v>
      </x:c>
      <x:c r="L19" s="4"/>
      <x:c r="M19" s="5">
        <x:f t="shared" si="2"/>
        <x:v>12570000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1368</x:v>
      </x:c>
      <x:c r="D20" s="4">
        <x:v>24007500</x:v>
      </x:c>
      <x:c r="E20" s="4">
        <x:f>6367500*0.1</x:f>
        <x:v>636750</x:v>
      </x:c>
      <x:c r="F20" s="5">
        <x:f>+D20+E20</x:f>
        <x:v>24644250</x:v>
      </x:c>
      <x:c r="G20" s="37"/>
      <x:c r="H20" s="299"/>
      <x:c r="I20" s="3"/>
      <x:c r="J20" s="3"/>
      <x:c r="K20" s="4"/>
      <x:c r="L20" s="4"/>
      <x:c r="M20" s="5">
        <x:f t="shared" si="2"/>
        <x:v>0</x:v>
      </x:c>
      <x:c r="N20" s="6"/>
    </x:row>
    <x:row r="21" spans="1:22" s="2" customFormat="1" ht="20.100000000000001" customHeight="1">
      <x:c r="A21" s="299"/>
      <x:c r="B21" s="3" t="s">
        <x:v>1241</x:v>
      </x:c>
      <x:c r="C21" s="3" t="s">
        <x:v>1389</x:v>
      </x:c>
      <x:c r="D21" s="4">
        <x:v>12550000</x:v>
      </x:c>
      <x:c r="E21" s="4"/>
      <x:c r="F21" s="5">
        <x:f>+D21+E21</x:f>
        <x:v>12550000</x:v>
      </x:c>
      <x:c r="G21" s="37"/>
      <x:c r="H21" s="299"/>
      <x:c r="I21" s="3"/>
      <x:c r="J21" s="3"/>
      <x:c r="K21" s="4"/>
      <x:c r="L21" s="4"/>
      <x:c r="M21" s="5">
        <x:f t="shared" si="2"/>
        <x:v>0</x:v>
      </x:c>
      <x:c r="N21" s="6"/>
      <x:c r="V21" s="1"/>
    </x:row>
    <x:row r="22" spans="1:22" s="2" customFormat="1" ht="20.100000000000001" customHeight="1">
      <x:c r="A22" s="299"/>
      <x:c r="B22" s="3" t="s">
        <x:v>1241</x:v>
      </x:c>
      <x:c r="C22" s="3" t="s">
        <x:v>1369</x:v>
      </x:c>
      <x:c r="D22" s="4">
        <x:v>55100000</x:v>
      </x:c>
      <x:c r="E22" s="4">
        <x:f>8500000*0.1</x:f>
        <x:v>850000</x:v>
      </x:c>
      <x:c r="F22" s="5">
        <x:f>+D22+E22</x:f>
        <x:v>55950000</x:v>
      </x:c>
      <x:c r="G22" s="37"/>
      <x:c r="H22" s="299"/>
      <x:c r="I22" s="3"/>
      <x:c r="J22" s="3"/>
      <x:c r="K22" s="4"/>
      <x:c r="L22" s="4"/>
      <x:c r="M22" s="5"/>
      <x:c r="N22" s="6"/>
      <x:c r="V22" s="1"/>
    </x:row>
    <x:row r="23" spans="1:22" s="2" customFormat="1" ht="20.100000000000001" customHeight="1">
      <x:c r="A23" s="300"/>
      <x:c r="B23" s="3" t="s">
        <x:v>1241</x:v>
      </x:c>
      <x:c r="C23" s="3" t="s">
        <x:v>168</x:v>
      </x:c>
      <x:c r="D23" s="4"/>
      <x:c r="E23" s="4"/>
      <x:c r="F23" s="5">
        <x:f>+D23+E23</x:f>
        <x:v>0</x:v>
      </x:c>
      <x:c r="G23" s="6"/>
      <x:c r="H23" s="300"/>
      <x:c r="I23" s="3"/>
      <x:c r="J23" s="3"/>
      <x:c r="K23" s="4"/>
      <x:c r="L23" s="4"/>
      <x:c r="M23" s="5">
        <x:f t="shared" si="2"/>
        <x:v>0</x:v>
      </x:c>
      <x:c r="N23" s="6"/>
      <x:c r="V23" s="1"/>
    </x:row>
    <x:row r="24" spans="1:22" s="2" customFormat="1" ht="20.100000000000001" customHeight="1">
      <x:c r="A24" s="7" t="s">
        <x:v>155</x:v>
      </x:c>
      <x:c r="B24" s="8"/>
      <x:c r="C24" s="8"/>
      <x:c r="D24" s="9">
        <x:f>SUM(D19:D23)</x:f>
        <x:v>126547500</x:v>
      </x:c>
      <x:c r="E24" s="9">
        <x:f>SUM(E19:E23)</x:f>
        <x:v>1486750</x:v>
      </x:c>
      <x:c r="F24" s="10">
        <x:f>SUM(F19:F23)</x:f>
        <x:v>128034250</x:v>
      </x:c>
      <x:c r="G24" s="11"/>
      <x:c r="H24" s="7"/>
      <x:c r="I24" s="8"/>
      <x:c r="J24" s="8"/>
      <x:c r="K24" s="9">
        <x:f>SUM(K19:K23)</x:f>
        <x:v>12570000</x:v>
      </x:c>
      <x:c r="L24" s="9">
        <x:f>SUM(L19:L23)</x:f>
        <x:v>0</x:v>
      </x:c>
      <x:c r="M24" s="10">
        <x:f>SUM(M19:M23)</x:f>
        <x:v>12570000</x:v>
      </x:c>
      <x:c r="N24" s="11"/>
      <x:c r="V24" s="1"/>
    </x:row>
    <x:row r="25" spans="1:22" s="2" customFormat="1" ht="20.100000000000001" customHeight="1">
      <x:c r="A25" s="301" t="s">
        <x:v>187</x:v>
      </x:c>
      <x:c r="B25" s="3" t="s">
        <x:v>1321</x:v>
      </x:c>
      <x:c r="C25" s="3" t="s">
        <x:v>948</x:v>
      </x:c>
      <x:c r="D25" s="4">
        <x:v>120000</x:v>
      </x:c>
      <x:c r="E25" s="4">
        <x:f>+D25*0.1</x:f>
        <x:v>12000</x:v>
      </x:c>
      <x:c r="F25" s="5">
        <x:f>+D25+E25</x:f>
        <x:v>132000</x:v>
      </x:c>
      <x:c r="G25" s="6"/>
      <x:c r="H25" s="301" t="s">
        <x:v>187</x:v>
      </x:c>
      <x:c r="I25" s="3" t="s">
        <x:v>1211</x:v>
      </x:c>
      <x:c r="J25" s="3" t="s">
        <x:v>948</x:v>
      </x:c>
      <x:c r="K25" s="4"/>
      <x:c r="L25" s="4"/>
      <x:c r="M25" s="5">
        <x:f>+K25+L25</x:f>
        <x:v>0</x:v>
      </x:c>
      <x:c r="N25" s="6"/>
      <x:c r="V25" s="1"/>
    </x:row>
    <x:row r="26" spans="1:22" s="2" customFormat="1" ht="20.100000000000001" customHeight="1">
      <x:c r="A26" s="299"/>
      <x:c r="B26" s="3" t="s">
        <x:v>436</x:v>
      </x:c>
      <x:c r="C26" s="3" t="s">
        <x:v>1390</x:v>
      </x:c>
      <x:c r="D26" s="4">
        <x:v>680000</x:v>
      </x:c>
      <x:c r="E26" s="4">
        <x:f>+D26*0.1</x:f>
        <x:v>68000</x:v>
      </x:c>
      <x:c r="F26" s="5">
        <x:f>+D26+E26</x:f>
        <x:v>748000</x:v>
      </x:c>
      <x:c r="G26" s="6"/>
      <x:c r="H26" s="299"/>
      <x:c r="I26" s="3"/>
      <x:c r="J26" s="3"/>
      <x:c r="K26" s="4"/>
      <x:c r="L26" s="4"/>
      <x:c r="M26" s="5">
        <x:f>+K26+L26</x:f>
        <x:v>0</x:v>
      </x:c>
      <x:c r="N26" s="6"/>
      <x:c r="V26" s="1"/>
    </x:row>
    <x:row r="27" spans="1:22" s="2" customFormat="1" ht="20.100000000000001" customHeight="1">
      <x:c r="A27" s="299"/>
      <x:c r="B27" s="3" t="s">
        <x:v>1387</x:v>
      </x:c>
      <x:c r="C27" s="3" t="s">
        <x:v>157</x:v>
      </x:c>
      <x:c r="D27" s="4"/>
      <x:c r="E27" s="4"/>
      <x:c r="F27" s="5">
        <x:f>+D27+E27</x:f>
        <x:v>0</x:v>
      </x:c>
      <x:c r="G27" s="6"/>
      <x:c r="H27" s="299"/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300"/>
      <x:c r="B28" s="3"/>
      <x:c r="C28" s="3"/>
      <x:c r="D28" s="4"/>
      <x:c r="E28" s="4"/>
      <x:c r="F28" s="5">
        <x:f>+D28+E28</x:f>
        <x:v>0</x:v>
      </x:c>
      <x:c r="G28" s="6"/>
      <x:c r="H28" s="300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7" t="s">
        <x:v>155</x:v>
      </x:c>
      <x:c r="B29" s="8"/>
      <x:c r="C29" s="8"/>
      <x:c r="D29" s="9">
        <x:f>SUM(D25:D28)</x:f>
        <x:v>800000</x:v>
      </x:c>
      <x:c r="E29" s="9">
        <x:f>SUM(E25:E28)</x:f>
        <x:v>80000</x:v>
      </x:c>
      <x:c r="F29" s="10">
        <x:f>SUM(F25:F28)</x:f>
        <x:v>880000</x:v>
      </x:c>
      <x:c r="G29" s="11"/>
      <x:c r="H29" s="7"/>
      <x:c r="I29" s="8"/>
      <x:c r="J29" s="8"/>
      <x:c r="K29" s="9">
        <x:f>SUM(K25:K28)</x:f>
        <x:v>0</x:v>
      </x:c>
      <x:c r="L29" s="9">
        <x:f>SUM(L25:L28)</x:f>
        <x:v>0</x:v>
      </x:c>
      <x:c r="M29" s="10">
        <x:f>SUM(M25:M28)</x:f>
        <x:v>0</x:v>
      </x:c>
      <x:c r="N29" s="11"/>
      <x:c r="V29" s="1"/>
    </x:row>
    <x:row r="30" spans="1:22" s="2" customFormat="1" ht="20.100000000000001" customHeight="1">
      <x:c r="A30" s="301" t="s">
        <x:v>149</x:v>
      </x:c>
      <x:c r="B30" s="3" t="s">
        <x:v>185</x:v>
      </x:c>
      <x:c r="C30" s="3" t="s">
        <x:v>149</x:v>
      </x:c>
      <x:c r="D30" s="44">
        <x:v>1738834</x:v>
      </x:c>
      <x:c r="E30" s="44"/>
      <x:c r="F30" s="5">
        <x:f>+D30+E30</x:f>
        <x:v>1738834</x:v>
      </x:c>
      <x:c r="G30" s="6"/>
      <x:c r="H30" s="301" t="s">
        <x:v>149</x:v>
      </x:c>
      <x:c r="I30" s="3" t="s">
        <x:v>169</x:v>
      </x:c>
      <x:c r="J30" s="3" t="s">
        <x:v>149</x:v>
      </x:c>
      <x:c r="K30" s="4">
        <x:v>941403</x:v>
      </x:c>
      <x:c r="L30" s="4">
        <x:v>7000</x:v>
      </x:c>
      <x:c r="M30" s="5">
        <x:f t="shared" ref="M30:M38" si="4">+K30+L30</x:f>
        <x:v>948403</x:v>
      </x:c>
      <x:c r="N30" s="6"/>
      <x:c r="V30" s="1"/>
    </x:row>
    <x:row r="31" spans="1:22" s="2" customFormat="1" ht="20.100000000000001" customHeight="1">
      <x:c r="A31" s="299"/>
      <x:c r="B31" s="3" t="s">
        <x:v>1274</x:v>
      </x:c>
      <x:c r="C31" s="3" t="s">
        <x:v>962</x:v>
      </x:c>
      <x:c r="D31" s="4">
        <x:v>754545</x:v>
      </x:c>
      <x:c r="E31" s="4">
        <x:f>+D31*0.1</x:f>
        <x:v>75454.5</x:v>
      </x:c>
      <x:c r="F31" s="5">
        <x:f>+D31+E31</x:f>
        <x:v>829999.5</x:v>
      </x:c>
      <x:c r="G31" s="6"/>
      <x:c r="H31" s="299"/>
      <x:c r="I31" s="3" t="s">
        <x:v>1205</x:v>
      </x:c>
      <x:c r="J31" s="3" t="s">
        <x:v>28</x:v>
      </x:c>
      <x:c r="K31" s="4">
        <x:v>430909</x:v>
      </x:c>
      <x:c r="L31" s="4">
        <x:f>+K31*0.1</x:f>
        <x:v>43090.900000000001</x:v>
      </x:c>
      <x:c r="M31" s="5">
        <x:f t="shared" si="4"/>
        <x:v>473999.90000000002</x:v>
      </x:c>
      <x:c r="N31" s="6"/>
      <x:c r="V31" s="1"/>
    </x:row>
    <x:row r="32" spans="1:22" s="2" customFormat="1" ht="20.100000000000001" customHeight="1">
      <x:c r="A32" s="299"/>
      <x:c r="B32" s="3" t="s">
        <x:v>1313</x:v>
      </x:c>
      <x:c r="C32" s="3" t="s">
        <x:v>825</x:v>
      </x:c>
      <x:c r="D32" s="4">
        <x:v>148500</x:v>
      </x:c>
      <x:c r="E32" s="4">
        <x:f>+D32*0.1</x:f>
        <x:v>14850</x:v>
      </x:c>
      <x:c r="F32" s="5">
        <x:f t="shared" ref="F32:F40" si="5">+D32+E32</x:f>
        <x:v>163350</x:v>
      </x:c>
      <x:c r="G32" s="6"/>
      <x:c r="H32" s="299"/>
      <x:c r="I32" s="3" t="s">
        <x:v>1680</x:v>
      </x:c>
      <x:c r="J32" s="3" t="s">
        <x:v>1695</x:v>
      </x:c>
      <x:c r="K32" s="4">
        <x:v>100000</x:v>
      </x:c>
      <x:c r="L32" s="4">
        <x:f>+K32*0.1</x:f>
        <x:v>10000</x:v>
      </x:c>
      <x:c r="M32" s="5">
        <x:f t="shared" si="4"/>
        <x:v>110000</x:v>
      </x:c>
      <x:c r="N32" s="6"/>
      <x:c r="V32" s="1"/>
    </x:row>
    <x:row r="33" spans="1:22" s="2" customFormat="1" ht="20.100000000000001" customHeight="1">
      <x:c r="A33" s="299"/>
      <x:c r="B33" s="3" t="s">
        <x:v>490</x:v>
      </x:c>
      <x:c r="C33" s="3" t="s">
        <x:v>1395</x:v>
      </x:c>
      <x:c r="D33" s="4"/>
      <x:c r="E33" s="4"/>
      <x:c r="F33" s="5">
        <x:f t="shared" si="5"/>
        <x:v>0</x:v>
      </x:c>
      <x:c r="G33" s="6" t="s">
        <x:v>1393</x:v>
      </x:c>
      <x:c r="H33" s="299"/>
      <x:c r="I33" s="3" t="s">
        <x:v>1120</x:v>
      </x:c>
      <x:c r="J33" s="3" t="s">
        <x:v>167</x:v>
      </x:c>
      <x:c r="K33" s="4">
        <x:v>20000</x:v>
      </x:c>
      <x:c r="L33" s="4">
        <x:f>+K33*0.1</x:f>
        <x:v>2000</x:v>
      </x:c>
      <x:c r="M33" s="5">
        <x:f t="shared" si="4"/>
        <x:v>22000</x:v>
      </x:c>
      <x:c r="N33" s="6"/>
      <x:c r="V33" s="1"/>
    </x:row>
    <x:row r="34" spans="1:22" s="2" customFormat="1" ht="20.100000000000001" customHeight="1">
      <x:c r="A34" s="299"/>
      <x:c r="B34" s="3" t="s">
        <x:v>994</x:v>
      </x:c>
      <x:c r="C34" s="3" t="s">
        <x:v>8</x:v>
      </x:c>
      <x:c r="D34" s="4">
        <x:v>420001</x:v>
      </x:c>
      <x:c r="E34" s="4">
        <x:v>41999</x:v>
      </x:c>
      <x:c r="F34" s="5">
        <x:f t="shared" si="5"/>
        <x:v>462000</x:v>
      </x:c>
      <x:c r="G34" s="6"/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4"/>
        <x:v>23100</x:v>
      </x:c>
      <x:c r="N34" s="6"/>
      <x:c r="V34" s="1"/>
    </x:row>
    <x:row r="35" spans="1:22" s="2" customFormat="1" ht="20.100000000000001" customHeight="1">
      <x:c r="A35" s="299"/>
      <x:c r="B35" s="3" t="s">
        <x:v>1680</x:v>
      </x:c>
      <x:c r="C35" s="3" t="s">
        <x:v>1695</x:v>
      </x:c>
      <x:c r="D35" s="4">
        <x:v>100000</x:v>
      </x:c>
      <x:c r="E35" s="4">
        <x:f>+D35*0.1</x:f>
        <x:v>10000</x:v>
      </x:c>
      <x:c r="F35" s="5">
        <x:f t="shared" si="5"/>
        <x:v>110000</x:v>
      </x:c>
      <x:c r="G35" s="6"/>
      <x:c r="H35" s="299"/>
      <x:c r="I35" s="3" t="s">
        <x:v>774</x:v>
      </x:c>
      <x:c r="J35" s="3" t="s">
        <x:v>1233</x:v>
      </x:c>
      <x:c r="K35" s="4">
        <x:v>2100000</x:v>
      </x:c>
      <x:c r="L35" s="4">
        <x:f>+K35*0.1</x:f>
        <x:v>210000</x:v>
      </x:c>
      <x:c r="M35" s="5">
        <x:f t="shared" si="4"/>
        <x:v>2310000</x:v>
      </x:c>
      <x:c r="N35" s="6"/>
      <x:c r="V35" s="1"/>
    </x:row>
    <x:row r="36" spans="1:22" s="2" customFormat="1" ht="20.100000000000001" customHeight="1">
      <x:c r="A36" s="299"/>
      <x:c r="B36" s="3" t="s">
        <x:v>247</x:v>
      </x:c>
      <x:c r="C36" s="3" t="s">
        <x:v>231</x:v>
      </x:c>
      <x:c r="D36" s="4">
        <x:f>20000+3500</x:f>
        <x:v>23500</x:v>
      </x:c>
      <x:c r="E36" s="4">
        <x:f>2000+350</x:f>
        <x:v>2350</x:v>
      </x:c>
      <x:c r="F36" s="5">
        <x:f t="shared" si="5"/>
        <x:v>25850</x:v>
      </x:c>
      <x:c r="G36" s="146" t="s">
        <x:v>1451</x:v>
      </x:c>
      <x:c r="H36" s="299"/>
      <x:c r="I36" s="3"/>
      <x:c r="J36" s="3"/>
      <x:c r="K36" s="4"/>
      <x:c r="L36" s="209">
        <x:f>+INT(K36*0.1)</x:f>
        <x:v>0</x:v>
      </x:c>
      <x:c r="M36" s="5">
        <x:f t="shared" si="4"/>
        <x:v>0</x:v>
      </x:c>
      <x:c r="N36" s="6"/>
      <x:c r="V36" s="1"/>
    </x:row>
    <x:row r="37" spans="1:22" s="2" customFormat="1" ht="20.100000000000001" customHeight="1">
      <x:c r="A37" s="299"/>
      <x:c r="B37" s="3" t="s">
        <x:v>1304</x:v>
      </x:c>
      <x:c r="C37" s="3" t="s">
        <x:v>167</x:v>
      </x:c>
      <x:c r="D37" s="4"/>
      <x:c r="E37" s="4"/>
      <x:c r="F37" s="5">
        <x:f t="shared" si="5"/>
        <x:v>0</x:v>
      </x:c>
      <x:c r="G37" s="146"/>
      <x:c r="H37" s="299"/>
      <x:c r="I37" s="3"/>
      <x:c r="J37" s="3"/>
      <x:c r="K37" s="4"/>
      <x:c r="L37" s="209"/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238</x:v>
      </x:c>
      <x:c r="C38" s="3" t="s">
        <x:v>405</x:v>
      </x:c>
      <x:c r="D38" s="4">
        <x:v>420000</x:v>
      </x:c>
      <x:c r="E38" s="4"/>
      <x:c r="F38" s="5">
        <x:f t="shared" si="5"/>
        <x:v>420000</x:v>
      </x:c>
      <x:c r="G38" s="146" t="s">
        <x:v>185</x:v>
      </x:c>
      <x:c r="H38" s="299"/>
      <x:c r="I38" s="3"/>
      <x:c r="J38" s="3"/>
      <x:c r="K38" s="4"/>
      <x:c r="L38" s="4">
        <x:f>+K38*0.1</x:f>
        <x:v>0</x:v>
      </x:c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 t="s">
        <x:v>270</x:v>
      </x:c>
      <x:c r="C39" s="3" t="s">
        <x:v>134</x:v>
      </x:c>
      <x:c r="D39" s="4">
        <x:v>290000</x:v>
      </x:c>
      <x:c r="E39" s="4"/>
      <x:c r="F39" s="5">
        <x:f t="shared" si="5"/>
        <x:v>290000</x:v>
      </x:c>
      <x:c r="G39" s="146" t="s">
        <x:v>271</x:v>
      </x:c>
      <x:c r="H39" s="299"/>
      <x:c r="I39" s="3"/>
      <x:c r="J39" s="3"/>
      <x:c r="K39" s="4"/>
      <x:c r="L39" s="4"/>
      <x:c r="M39" s="5"/>
      <x:c r="N39" s="6"/>
      <x:c r="V39" s="1"/>
    </x:row>
    <x:row r="40" spans="1:22" s="2" customFormat="1" ht="20.100000000000001" customHeight="1">
      <x:c r="A40" s="300"/>
      <x:c r="B40" s="3"/>
      <x:c r="C40" s="3"/>
      <x:c r="D40" s="4"/>
      <x:c r="E40" s="4"/>
      <x:c r="F40" s="5">
        <x:f t="shared" si="5"/>
        <x:v>0</x:v>
      </x:c>
      <x:c r="G40" s="6"/>
      <x:c r="H40" s="300"/>
      <x:c r="I40" s="3"/>
      <x:c r="J40" s="3"/>
      <x:c r="K40" s="4"/>
      <x:c r="L40" s="4"/>
      <x:c r="M40" s="5">
        <x:f>+K40+L40</x:f>
        <x:v>0</x:v>
      </x:c>
      <x:c r="N40" s="6"/>
      <x:c r="V40" s="1"/>
    </x:row>
    <x:row r="41" spans="1:22" s="2" customFormat="1" ht="20.100000000000001" customHeight="1">
      <x:c r="A41" s="7" t="s">
        <x:v>155</x:v>
      </x:c>
      <x:c r="B41" s="8"/>
      <x:c r="C41" s="8"/>
      <x:c r="D41" s="9">
        <x:f>SUM(D30:D40)</x:f>
        <x:v>3895380</x:v>
      </x:c>
      <x:c r="E41" s="9">
        <x:f>SUM(E30:E40)</x:f>
        <x:v>144653.5</x:v>
      </x:c>
      <x:c r="F41" s="10">
        <x:f>SUM(F30:F40)</x:f>
        <x:v>4040033.5</x:v>
      </x:c>
      <x:c r="G41" s="11"/>
      <x:c r="H41" s="7"/>
      <x:c r="I41" s="8"/>
      <x:c r="J41" s="8"/>
      <x:c r="K41" s="9">
        <x:f>SUM(K30:K40)</x:f>
        <x:v>3613312</x:v>
      </x:c>
      <x:c r="L41" s="9">
        <x:f>SUM(L30:L40)</x:f>
        <x:v>274190.90000000002</x:v>
      </x:c>
      <x:c r="M41" s="10">
        <x:f>SUM(M30:M40)</x:f>
        <x:v>3887502.8999999999</x:v>
      </x:c>
      <x:c r="N41" s="11"/>
      <x:c r="V41" s="1"/>
    </x:row>
    <x:row r="42" spans="1:22" s="2" customFormat="1" ht="20.100000000000001" customHeight="1">
      <x:c r="A42" s="12" t="s">
        <x:v>1690</x:v>
      </x:c>
      <x:c r="B42" s="13"/>
      <x:c r="C42" s="13"/>
      <x:c r="D42" s="14">
        <x:f>+D18+D24+D29+D41</x:f>
        <x:v>190016845</x:v>
      </x:c>
      <x:c r="E42" s="14">
        <x:f>+E18+E24+E29+E41</x:f>
        <x:v>7588799.5</x:v>
      </x:c>
      <x:c r="F42" s="15">
        <x:f>+F18+F24+F29+F41</x:f>
        <x:v>197605644.5</x:v>
      </x:c>
      <x:c r="G42" s="16"/>
      <x:c r="H42" s="12"/>
      <x:c r="I42" s="13"/>
      <x:c r="J42" s="13"/>
      <x:c r="K42" s="14">
        <x:f>+K18+K24+K29+K41</x:f>
        <x:v>16499032</x:v>
      </x:c>
      <x:c r="L42" s="14">
        <x:f>+L18+L24+L29+L41</x:f>
        <x:v>305762.90000000002</x:v>
      </x:c>
      <x:c r="M42" s="15">
        <x:f>+M18+M24+M29+M41</x:f>
        <x:v>16804794.899999999</x:v>
      </x:c>
      <x:c r="N42" s="16"/>
      <x:c r="V42" s="1"/>
    </x:row>
    <x:row r="43" spans="1:22" s="2" customFormat="1" ht="20.100000000000001" customHeight="1">
      <x:c r="A43" s="23" t="s">
        <x:v>35</x:v>
      </x:c>
      <x:c r="B43" s="24"/>
      <x:c r="C43" s="24"/>
      <x:c r="D43" s="25">
        <x:f>+D4-D42</x:f>
        <x:v>3892246</x:v>
      </x:c>
      <x:c r="E43" s="25">
        <x:f>+E4-E42</x:f>
        <x:v>-1497890.5</x:v>
      </x:c>
      <x:c r="F43" s="26">
        <x:f>+F4-F42</x:f>
        <x:v>2394355.5</x:v>
      </x:c>
      <x:c r="G43" s="27"/>
      <x:c r="H43" s="23"/>
      <x:c r="I43" s="24"/>
      <x:c r="J43" s="24"/>
      <x:c r="K43" s="25">
        <x:f>+K4-K42</x:f>
        <x:v>-16499032</x:v>
      </x:c>
      <x:c r="L43" s="25">
        <x:f>+L4-L42</x:f>
        <x:v>-305762.90000000002</x:v>
      </x:c>
      <x:c r="M43" s="26">
        <x:f>+M4-M42</x:f>
        <x:v>-16804794.899999999</x:v>
      </x:c>
      <x:c r="N43" s="27"/>
      <x:c r="V43" s="1"/>
    </x:row>
    <x:row r="44" spans="1:22" s="2" customFormat="1" ht="20.100000000000001" customHeight="1">
      <x:c r="A44" s="302" t="s">
        <x:v>410</x:v>
      </x:c>
      <x:c r="B44" s="303"/>
      <x:c r="C44" s="303"/>
      <x:c r="D44" s="303"/>
      <x:c r="E44" s="303"/>
      <x:c r="F44" s="304"/>
      <x:c r="G44" s="305"/>
      <x:c r="H44" s="302" t="s">
        <x:v>789</x:v>
      </x:c>
      <x:c r="I44" s="303"/>
      <x:c r="J44" s="303"/>
      <x:c r="K44" s="303"/>
      <x:c r="L44" s="303"/>
      <x:c r="M44" s="304"/>
      <x:c r="N44" s="305"/>
      <x:c r="V44" s="1"/>
    </x:row>
    <x:row r="45" spans="1:22" s="2" customFormat="1" ht="20.100000000000001" customHeight="1">
      <x:c r="A45" s="29" t="s">
        <x:v>147</x:v>
      </x:c>
      <x:c r="B45" s="208" t="s">
        <x:v>144</x:v>
      </x:c>
      <x:c r="C45" s="208" t="s">
        <x:v>150</x:v>
      </x:c>
      <x:c r="D45" s="31" t="s">
        <x:v>145</x:v>
      </x:c>
      <x:c r="E45" s="31" t="s">
        <x:v>152</x:v>
      </x:c>
      <x:c r="F45" s="31" t="s">
        <x:v>146</x:v>
      </x:c>
      <x:c r="G45" s="34" t="s">
        <x:v>154</x:v>
      </x:c>
      <x:c r="H45" s="29" t="s">
        <x:v>147</x:v>
      </x:c>
      <x:c r="I45" s="208" t="s">
        <x:v>144</x:v>
      </x:c>
      <x:c r="J45" s="208" t="s">
        <x:v>150</x:v>
      </x:c>
      <x:c r="K45" s="31" t="s">
        <x:v>145</x:v>
      </x:c>
      <x:c r="L45" s="31" t="s">
        <x:v>152</x:v>
      </x:c>
      <x:c r="M45" s="32" t="s">
        <x:v>146</x:v>
      </x:c>
      <x:c r="N45" s="33" t="s">
        <x:v>154</x:v>
      </x:c>
      <x:c r="V45" s="1"/>
    </x:row>
    <x:row r="46" spans="1:22" s="2" customFormat="1" ht="20.100000000000001" customHeight="1">
      <x:c r="A46" s="41" t="s">
        <x:v>151</x:v>
      </x:c>
      <x:c r="B46" s="149" t="s">
        <x:v>1679</x:v>
      </x:c>
      <x:c r="C46" s="149" t="s">
        <x:v>488</x:v>
      </x:c>
      <x:c r="D46" s="150">
        <x:f>44000000+6000000</x:f>
        <x:v>50000000</x:v>
      </x:c>
      <x:c r="E46" s="150">
        <x:f>+D46*0.1</x:f>
        <x:v>5000000</x:v>
      </x:c>
      <x:c r="F46" s="40">
        <x:f>+D46+E46</x:f>
        <x:v>55000000</x:v>
      </x:c>
      <x:c r="G46" s="42" t="s">
        <x:v>1423</x:v>
      </x:c>
      <x:c r="H46" s="207" t="s">
        <x:v>151</x:v>
      </x:c>
      <x:c r="I46" s="38" t="s">
        <x:v>1679</x:v>
      </x:c>
      <x:c r="J46" s="38" t="s">
        <x:v>156</x:v>
      </x:c>
      <x:c r="K46" s="39"/>
      <x:c r="L46" s="39">
        <x:f>+K46*0.1</x:f>
        <x:v>0</x:v>
      </x:c>
      <x:c r="M46" s="40">
        <x:f t="shared" ref="M46:M52" si="6">+K46+L46</x:f>
        <x:v>0</x:v>
      </x:c>
      <x:c r="N46" s="18"/>
      <x:c r="V46" s="1"/>
    </x:row>
    <x:row r="47" spans="1:22" s="2" customFormat="1" ht="20.100000000000001" customHeight="1">
      <x:c r="A47" s="298" t="s">
        <x:v>148</x:v>
      </x:c>
      <x:c r="B47" s="147" t="s">
        <x:v>867</x:v>
      </x:c>
      <x:c r="C47" s="3" t="s">
        <x:v>374</x:v>
      </x:c>
      <x:c r="D47" s="148">
        <x:v>4756875</x:v>
      </x:c>
      <x:c r="E47" s="148">
        <x:f t="shared" ref="E47:E55" si="7">+INT(D47*0.1)</x:f>
        <x:v>475687</x:v>
      </x:c>
      <x:c r="F47" s="94">
        <x:f t="shared" ref="F47:F62" si="8">+D47+E47</x:f>
        <x:v>5232562</x:v>
      </x:c>
      <x:c r="G47" s="22"/>
      <x:c r="H47" s="298" t="s">
        <x:v>148</x:v>
      </x:c>
      <x:c r="I47" s="54" t="s">
        <x:v>867</x:v>
      </x:c>
      <x:c r="J47" s="54"/>
      <x:c r="K47" s="93"/>
      <x:c r="L47" s="93">
        <x:f t="shared" ref="L47:L52" si="9">+INT(K47*0.1)</x:f>
        <x:v>0</x:v>
      </x:c>
      <x:c r="M47" s="94">
        <x:f t="shared" si="6"/>
        <x:v>0</x:v>
      </x:c>
      <x:c r="N47" s="95"/>
      <x:c r="V47" s="1"/>
    </x:row>
    <x:row r="48" spans="1:22" s="2" customFormat="1" ht="20.100000000000001" customHeight="1">
      <x:c r="A48" s="299"/>
      <x:c r="B48" s="147" t="s">
        <x:v>838</x:v>
      </x:c>
      <x:c r="C48" s="3" t="s">
        <x:v>511</x:v>
      </x:c>
      <x:c r="D48" s="148">
        <x:v>544530</x:v>
      </x:c>
      <x:c r="E48" s="148">
        <x:f t="shared" si="7"/>
        <x:v>54453</x:v>
      </x:c>
      <x:c r="F48" s="4">
        <x:f t="shared" si="8"/>
        <x:v>598983</x:v>
      </x:c>
      <x:c r="G48" s="6"/>
      <x:c r="H48" s="299"/>
      <x:c r="I48" s="162" t="s">
        <x:v>1348</x:v>
      </x:c>
      <x:c r="J48" s="162" t="s">
        <x:v>815</x:v>
      </x:c>
      <x:c r="K48" s="163">
        <x:v>72400</x:v>
      </x:c>
      <x:c r="L48" s="163">
        <x:f t="shared" si="9"/>
        <x:v>7240</x:v>
      </x:c>
      <x:c r="M48" s="164">
        <x:f t="shared" si="6"/>
        <x:v>79640</x:v>
      </x:c>
      <x:c r="N48" s="158"/>
      <x:c r="V48" s="1"/>
    </x:row>
    <x:row r="49" spans="1:22" s="2" customFormat="1" ht="20.100000000000001" customHeight="1">
      <x:c r="A49" s="299"/>
      <x:c r="B49" s="3" t="s">
        <x:v>1315</x:v>
      </x:c>
      <x:c r="C49" s="3" t="s">
        <x:v>1306</x:v>
      </x:c>
      <x:c r="D49" s="4">
        <x:f>1850800+3415850+2915300</x:f>
        <x:v>8181950</x:v>
      </x:c>
      <x:c r="E49" s="4">
        <x:f t="shared" si="7"/>
        <x:v>818195</x:v>
      </x:c>
      <x:c r="F49" s="5">
        <x:f t="shared" si="8"/>
        <x:v>9000145</x:v>
      </x:c>
      <x:c r="G49" s="6"/>
      <x:c r="H49" s="299"/>
      <x:c r="I49" s="3" t="s">
        <x:v>838</x:v>
      </x:c>
      <x:c r="J49" s="3" t="s">
        <x:v>510</x:v>
      </x:c>
      <x:c r="K49" s="4">
        <x:v>1463600</x:v>
      </x:c>
      <x:c r="L49" s="4">
        <x:f t="shared" si="9"/>
        <x:v>146360</x:v>
      </x:c>
      <x:c r="M49" s="5">
        <x:f t="shared" si="6"/>
        <x:v>1609960</x:v>
      </x:c>
      <x:c r="N49" s="6"/>
      <x:c r="V49" s="1"/>
    </x:row>
    <x:row r="50" spans="1:22" s="2" customFormat="1" ht="20.100000000000001" customHeight="1">
      <x:c r="A50" s="299"/>
      <x:c r="B50" s="3" t="s">
        <x:v>846</x:v>
      </x:c>
      <x:c r="C50" s="3" t="s">
        <x:v>1474</x:v>
      </x:c>
      <x:c r="D50" s="4">
        <x:v>147000</x:v>
      </x:c>
      <x:c r="E50" s="4">
        <x:f t="shared" si="7"/>
        <x:v>14700</x:v>
      </x:c>
      <x:c r="F50" s="5">
        <x:f t="shared" si="8"/>
        <x:v>161700</x:v>
      </x:c>
      <x:c r="G50" s="6"/>
      <x:c r="H50" s="299"/>
      <x:c r="I50" s="3" t="s">
        <x:v>1119</x:v>
      </x:c>
      <x:c r="J50" s="3"/>
      <x:c r="K50" s="4"/>
      <x:c r="L50" s="4">
        <x:f t="shared" si="9"/>
        <x:v>0</x:v>
      </x:c>
      <x:c r="M50" s="5">
        <x:f t="shared" si="6"/>
        <x:v>0</x:v>
      </x:c>
      <x:c r="N50" s="6"/>
      <x:c r="V50" s="1"/>
    </x:row>
    <x:row r="51" spans="1:22" s="2" customFormat="1" ht="20.100000000000001" customHeight="1">
      <x:c r="A51" s="299"/>
      <x:c r="B51" s="3" t="s">
        <x:v>1348</x:v>
      </x:c>
      <x:c r="C51" s="3" t="s">
        <x:v>613</x:v>
      </x:c>
      <x:c r="D51" s="4">
        <x:v>305501</x:v>
      </x:c>
      <x:c r="E51" s="4">
        <x:f t="shared" si="7"/>
        <x:v>30550</x:v>
      </x:c>
      <x:c r="F51" s="5">
        <x:f t="shared" si="8"/>
        <x:v>336051</x:v>
      </x:c>
      <x:c r="G51" s="6"/>
      <x:c r="H51" s="299"/>
      <x:c r="I51" s="3" t="s">
        <x:v>938</x:v>
      </x:c>
      <x:c r="J51" s="3" t="s">
        <x:v>935</x:v>
      </x:c>
      <x:c r="K51" s="4">
        <x:v>2959000</x:v>
      </x:c>
      <x:c r="L51" s="4">
        <x:f t="shared" si="9"/>
        <x:v>295900</x:v>
      </x:c>
      <x:c r="M51" s="5">
        <x:f t="shared" si="6"/>
        <x:v>3254900</x:v>
      </x:c>
      <x:c r="N51" s="6" t="s">
        <x:v>1431</x:v>
      </x:c>
      <x:c r="V51" s="1"/>
    </x:row>
    <x:row r="52" spans="1:22" s="2" customFormat="1" ht="20.100000000000001" customHeight="1">
      <x:c r="A52" s="299"/>
      <x:c r="B52" s="3" t="s">
        <x:v>1378</x:v>
      </x:c>
      <x:c r="C52" s="3" t="s">
        <x:v>442</x:v>
      </x:c>
      <x:c r="D52" s="4">
        <x:v>1430740</x:v>
      </x:c>
      <x:c r="E52" s="4">
        <x:f t="shared" si="7"/>
        <x:v>143074</x:v>
      </x:c>
      <x:c r="F52" s="5">
        <x:f t="shared" si="8"/>
        <x:v>1573814</x:v>
      </x:c>
      <x:c r="G52" s="6"/>
      <x:c r="H52" s="299"/>
      <x:c r="I52" s="3" t="s">
        <x:v>1058</x:v>
      </x:c>
      <x:c r="J52" s="3" t="s">
        <x:v>126</x:v>
      </x:c>
      <x:c r="K52" s="4">
        <x:v>3493480</x:v>
      </x:c>
      <x:c r="L52" s="4">
        <x:f t="shared" si="9"/>
        <x:v>349348</x:v>
      </x:c>
      <x:c r="M52" s="5">
        <x:f t="shared" si="6"/>
        <x:v>3842828</x:v>
      </x:c>
      <x:c r="N52" s="6"/>
      <x:c r="V52" s="1"/>
    </x:row>
    <x:row r="53" spans="1:22" s="2" customFormat="1" ht="20.100000000000001" customHeight="1">
      <x:c r="A53" s="299"/>
      <x:c r="B53" s="3" t="s">
        <x:v>938</x:v>
      </x:c>
      <x:c r="C53" s="3" t="s">
        <x:v>953</x:v>
      </x:c>
      <x:c r="D53" s="4">
        <x:f>398000+919000</x:f>
        <x:v>1317000</x:v>
      </x:c>
      <x:c r="E53" s="4">
        <x:f t="shared" si="7"/>
        <x:v>131700</x:v>
      </x:c>
      <x:c r="F53" s="5">
        <x:f t="shared" si="8"/>
        <x:v>1448700</x:v>
      </x:c>
      <x:c r="G53" s="6" t="s">
        <x:v>1423</x:v>
      </x:c>
      <x:c r="H53" s="299"/>
      <x:c r="I53" s="3" t="s">
        <x:v>846</x:v>
      </x:c>
      <x:c r="J53" s="3" t="s">
        <x:v>263</x:v>
      </x:c>
      <x:c r="K53" s="4">
        <x:v>585000</x:v>
      </x:c>
      <x:c r="L53" s="4">
        <x:f>+INT(K53*0.1)</x:f>
        <x:v>58500</x:v>
      </x:c>
      <x:c r="M53" s="5">
        <x:f>+K53+L53</x:f>
        <x:v>643500</x:v>
      </x:c>
      <x:c r="N53" s="6" t="s">
        <x:v>1431</x:v>
      </x:c>
      <x:c r="V53" s="1"/>
    </x:row>
    <x:row r="54" spans="1:22" s="2" customFormat="1" ht="20.100000000000001" customHeight="1">
      <x:c r="A54" s="299"/>
      <x:c r="B54" s="3" t="s">
        <x:v>864</x:v>
      </x:c>
      <x:c r="C54" s="3" t="s">
        <x:v>496</x:v>
      </x:c>
      <x:c r="D54" s="4">
        <x:f>12180010+909280</x:f>
        <x:v>13089290</x:v>
      </x:c>
      <x:c r="E54" s="4">
        <x:f t="shared" si="7"/>
        <x:v>1308929</x:v>
      </x:c>
      <x:c r="F54" s="5">
        <x:f t="shared" si="8"/>
        <x:v>14398219</x:v>
      </x:c>
      <x:c r="G54" s="6"/>
      <x:c r="H54" s="299"/>
      <x:c r="I54" s="3" t="s">
        <x:v>846</x:v>
      </x:c>
      <x:c r="J54" s="3" t="s">
        <x:v>506</x:v>
      </x:c>
      <x:c r="K54" s="4">
        <x:v>2632525</x:v>
      </x:c>
      <x:c r="L54" s="4">
        <x:f>+INT(K54*0.1)-1</x:f>
        <x:v>263251</x:v>
      </x:c>
      <x:c r="M54" s="5">
        <x:f>+K54+L54</x:f>
        <x:v>2895776</x:v>
      </x:c>
      <x:c r="N54" s="6"/>
      <x:c r="V54" s="1"/>
    </x:row>
    <x:row r="55" spans="1:22" s="2" customFormat="1" ht="20.100000000000001" customHeight="1">
      <x:c r="A55" s="299"/>
      <x:c r="B55" s="3" t="s">
        <x:v>1441</x:v>
      </x:c>
      <x:c r="C55" s="3"/>
      <x:c r="D55" s="4"/>
      <x:c r="E55" s="4">
        <x:f t="shared" si="7"/>
        <x:v>0</x:v>
      </x:c>
      <x:c r="F55" s="5">
        <x:f t="shared" si="8"/>
        <x:v>0</x:v>
      </x:c>
      <x:c r="G55" s="6"/>
      <x:c r="H55" s="299"/>
      <x:c r="I55" s="3"/>
      <x:c r="J55" s="3"/>
      <x:c r="K55" s="4"/>
      <x:c r="L55" s="4"/>
      <x:c r="M55" s="5"/>
      <x:c r="N55" s="6"/>
      <x:c r="V55" s="1"/>
    </x:row>
    <x:row r="56" spans="1:22" s="2" customFormat="1" ht="20.100000000000001" customHeight="1">
      <x:c r="A56" s="299"/>
      <x:c r="B56" s="3" t="s">
        <x:v>1319</x:v>
      </x:c>
      <x:c r="C56" s="3" t="s">
        <x:v>1295</x:v>
      </x:c>
      <x:c r="D56" s="4">
        <x:v>180000</x:v>
      </x:c>
      <x:c r="E56" s="4">
        <x:f>+INT(D56*0.1)</x:f>
        <x:v>18000</x:v>
      </x:c>
      <x:c r="F56" s="5">
        <x:f t="shared" si="8"/>
        <x:v>198000</x:v>
      </x:c>
      <x:c r="G56" s="6"/>
      <x:c r="H56" s="299"/>
      <x:c r="I56" s="3"/>
      <x:c r="J56" s="3"/>
      <x:c r="K56" s="4"/>
      <x:c r="L56" s="4">
        <x:f t="shared" ref="L56:L61" si="10">+INT(K56*0.1)</x:f>
        <x:v>0</x:v>
      </x:c>
      <x:c r="M56" s="5">
        <x:f t="shared" ref="M56:M61" si="11">+K56+L56</x:f>
        <x:v>0</x:v>
      </x:c>
      <x:c r="N56" s="6"/>
      <x:c r="V56" s="1"/>
    </x:row>
    <x:row r="57" spans="1:22" s="2" customFormat="1" ht="20.100000000000001" customHeight="1">
      <x:c r="A57" s="299"/>
      <x:c r="B57" s="3" t="s">
        <x:v>1443</x:v>
      </x:c>
      <x:c r="C57" s="3" t="s">
        <x:v>1435</x:v>
      </x:c>
      <x:c r="D57" s="4">
        <x:v>98000</x:v>
      </x:c>
      <x:c r="E57" s="4">
        <x:f>+D57*0.1</x:f>
        <x:v>9800</x:v>
      </x:c>
      <x:c r="F57" s="5">
        <x:f t="shared" si="8"/>
        <x:v>107800</x:v>
      </x:c>
      <x:c r="G57" s="6" t="s">
        <x:v>1423</x:v>
      </x:c>
      <x:c r="H57" s="299"/>
      <x:c r="I57" s="3"/>
      <x:c r="J57" s="3"/>
      <x:c r="K57" s="4"/>
      <x:c r="L57" s="4">
        <x:f t="shared" si="10"/>
        <x:v>0</x:v>
      </x:c>
      <x:c r="M57" s="5">
        <x:f t="shared" si="11"/>
        <x:v>0</x:v>
      </x:c>
      <x:c r="N57" s="6"/>
      <x:c r="V57" s="1"/>
    </x:row>
    <x:row r="58" spans="1:22" s="2" customFormat="1" ht="20.100000000000001" customHeight="1">
      <x:c r="A58" s="299"/>
      <x:c r="B58" s="129" t="s">
        <x:v>1436</x:v>
      </x:c>
      <x:c r="C58" s="129" t="s">
        <x:v>1438</x:v>
      </x:c>
      <x:c r="D58" s="4">
        <x:v>4000000</x:v>
      </x:c>
      <x:c r="E58" s="4">
        <x:f>+D58*0.1</x:f>
        <x:v>400000</x:v>
      </x:c>
      <x:c r="F58" s="5">
        <x:f t="shared" si="8"/>
        <x:v>4400000</x:v>
      </x:c>
      <x:c r="G58" s="6" t="s">
        <x:v>1423</x:v>
      </x:c>
      <x:c r="H58" s="299"/>
      <x:c r="I58" s="3"/>
      <x:c r="J58" s="3"/>
      <x:c r="K58" s="4"/>
      <x:c r="L58" s="4">
        <x:f t="shared" si="10"/>
        <x:v>0</x:v>
      </x:c>
      <x:c r="M58" s="5">
        <x:f t="shared" si="11"/>
        <x:v>0</x:v>
      </x:c>
      <x:c r="N58" s="6"/>
      <x:c r="V58" s="1"/>
    </x:row>
    <x:row r="59" spans="1:22" s="2" customFormat="1" ht="20.100000000000001" customHeight="1">
      <x:c r="A59" s="299"/>
      <x:c r="B59" s="129" t="s">
        <x:v>1436</x:v>
      </x:c>
      <x:c r="C59" s="129" t="s">
        <x:v>1438</x:v>
      </x:c>
      <x:c r="D59" s="130">
        <x:v>2984600</x:v>
      </x:c>
      <x:c r="E59" s="130">
        <x:f>+INT(D59*0.1)</x:f>
        <x:v>298460</x:v>
      </x:c>
      <x:c r="F59" s="5">
        <x:f t="shared" si="8"/>
        <x:v>3283060</x:v>
      </x:c>
      <x:c r="G59" s="6" t="s">
        <x:v>1423</x:v>
      </x:c>
      <x:c r="H59" s="299"/>
      <x:c r="I59" s="3"/>
      <x:c r="J59" s="3"/>
      <x:c r="K59" s="4"/>
      <x:c r="L59" s="4">
        <x:f t="shared" si="10"/>
        <x:v>0</x:v>
      </x:c>
      <x:c r="M59" s="5">
        <x:f t="shared" si="11"/>
        <x:v>0</x:v>
      </x:c>
      <x:c r="N59" s="6"/>
      <x:c r="V59" s="1"/>
    </x:row>
    <x:row r="60" spans="1:22" s="2" customFormat="1" ht="20.100000000000001" customHeight="1">
      <x:c r="A60" s="299"/>
      <x:c r="B60" s="129" t="s">
        <x:v>1443</x:v>
      </x:c>
      <x:c r="C60" s="129" t="s">
        <x:v>1445</x:v>
      </x:c>
      <x:c r="D60" s="130">
        <x:v>416500</x:v>
      </x:c>
      <x:c r="E60" s="130">
        <x:f>+INT(D60*0.1)</x:f>
        <x:v>41650</x:v>
      </x:c>
      <x:c r="F60" s="5">
        <x:f>+D60+E60</x:f>
        <x:v>458150</x:v>
      </x:c>
      <x:c r="G60" s="6"/>
      <x:c r="H60" s="299"/>
      <x:c r="I60" s="3"/>
      <x:c r="J60" s="3"/>
      <x:c r="K60" s="4"/>
      <x:c r="L60" s="4">
        <x:f t="shared" si="10"/>
        <x:v>0</x:v>
      </x:c>
      <x:c r="M60" s="5">
        <x:f t="shared" si="11"/>
        <x:v>0</x:v>
      </x:c>
      <x:c r="N60" s="6"/>
      <x:c r="V60" s="1"/>
    </x:row>
    <x:row r="61" spans="1:22" s="2" customFormat="1" ht="20.100000000000001" customHeight="1">
      <x:c r="A61" s="299"/>
      <x:c r="B61" s="3" t="s">
        <x:v>483</x:v>
      </x:c>
      <x:c r="C61" s="3" t="s">
        <x:v>1482</x:v>
      </x:c>
      <x:c r="D61" s="4">
        <x:v>522000</x:v>
      </x:c>
      <x:c r="E61" s="4">
        <x:f>+D61*0.1</x:f>
        <x:v>52200</x:v>
      </x:c>
      <x:c r="F61" s="5">
        <x:f t="shared" si="8"/>
        <x:v>574200</x:v>
      </x:c>
      <x:c r="G61" s="132"/>
      <x:c r="H61" s="299"/>
      <x:c r="I61" s="3"/>
      <x:c r="J61" s="3"/>
      <x:c r="K61" s="4"/>
      <x:c r="L61" s="4">
        <x:f t="shared" si="10"/>
        <x:v>0</x:v>
      </x:c>
      <x:c r="M61" s="5">
        <x:f t="shared" si="11"/>
        <x:v>0</x:v>
      </x:c>
      <x:c r="N61" s="6"/>
      <x:c r="V61" s="1"/>
    </x:row>
    <x:row r="62" spans="1:22" s="2" customFormat="1" ht="20.100000000000001" customHeight="1">
      <x:c r="A62" s="299"/>
      <x:c r="B62" s="129"/>
      <x:c r="C62" s="129"/>
      <x:c r="D62" s="4"/>
      <x:c r="E62" s="4">
        <x:f>+D62*0.1</x:f>
        <x:v>0</x:v>
      </x:c>
      <x:c r="F62" s="5">
        <x:f t="shared" si="8"/>
        <x:v>0</x:v>
      </x:c>
      <x:c r="G62" s="6"/>
      <x:c r="H62" s="300"/>
      <x:c r="I62" s="3"/>
      <x:c r="J62" s="3"/>
      <x:c r="K62" s="4"/>
      <x:c r="L62" s="4"/>
      <x:c r="M62" s="5"/>
      <x:c r="N62" s="6"/>
      <x:c r="V62" s="1"/>
    </x:row>
    <x:row r="63" spans="1:22" s="2" customFormat="1" ht="20.100000000000001" customHeight="1">
      <x:c r="A63" s="7"/>
      <x:c r="B63" s="8"/>
      <x:c r="C63" s="8"/>
      <x:c r="D63" s="9">
        <x:f>SUM(D47:D62)</x:f>
        <x:v>37973986</x:v>
      </x:c>
      <x:c r="E63" s="9">
        <x:f>SUM(E47:E62)</x:f>
        <x:v>3797398</x:v>
      </x:c>
      <x:c r="F63" s="10">
        <x:f>SUM(F47:F62)</x:f>
        <x:v>41771384</x:v>
      </x:c>
      <x:c r="G63" s="11"/>
      <x:c r="H63" s="7" t="s">
        <x:v>155</x:v>
      </x:c>
      <x:c r="I63" s="8"/>
      <x:c r="J63" s="8"/>
      <x:c r="K63" s="9">
        <x:f>SUM(K47:K62)</x:f>
        <x:v>11206005</x:v>
      </x:c>
      <x:c r="L63" s="9">
        <x:f>SUM(L47:L62)</x:f>
        <x:v>1120599</x:v>
      </x:c>
      <x:c r="M63" s="10">
        <x:f>SUM(M47:M62)</x:f>
        <x:v>12326604</x:v>
      </x:c>
      <x:c r="N63" s="11"/>
      <x:c r="V63" s="1"/>
    </x:row>
    <x:row r="64" spans="1:22" s="2" customFormat="1" ht="20.100000000000001" customHeight="1">
      <x:c r="A64" s="301" t="s">
        <x:v>153</x:v>
      </x:c>
      <x:c r="B64" s="3" t="s">
        <x:v>1677</x:v>
      </x:c>
      <x:c r="C64" s="3" t="s">
        <x:v>1437</x:v>
      </x:c>
      <x:c r="D64" s="4">
        <x:v>78600000</x:v>
      </x:c>
      <x:c r="E64" s="4"/>
      <x:c r="F64" s="5">
        <x:f>+D64+E64</x:f>
        <x:v>78600000</x:v>
      </x:c>
      <x:c r="G64" s="6" t="s">
        <x:v>1423</x:v>
      </x:c>
      <x:c r="H64" s="301" t="s">
        <x:v>153</x:v>
      </x:c>
      <x:c r="I64" s="3" t="s">
        <x:v>1677</x:v>
      </x:c>
      <x:c r="J64" s="3" t="s">
        <x:v>1308</x:v>
      </x:c>
      <x:c r="K64" s="44">
        <x:v>24585000</x:v>
      </x:c>
      <x:c r="L64" s="44"/>
      <x:c r="M64" s="45">
        <x:f>+K64+L64</x:f>
        <x:v>24585000</x:v>
      </x:c>
      <x:c r="N64" s="37"/>
      <x:c r="V64" s="1"/>
    </x:row>
    <x:row r="65" spans="1:22" s="2" customFormat="1" ht="20.100000000000001" customHeight="1">
      <x:c r="A65" s="299"/>
      <x:c r="B65" s="3"/>
      <x:c r="C65" s="3"/>
      <x:c r="D65" s="4"/>
      <x:c r="E65" s="4"/>
      <x:c r="F65" s="5">
        <x:f>+D65+E65</x:f>
        <x:v>0</x:v>
      </x:c>
      <x:c r="G65" s="6"/>
      <x:c r="H65" s="299"/>
      <x:c r="I65" s="3"/>
      <x:c r="J65" s="3"/>
      <x:c r="K65" s="44"/>
      <x:c r="L65" s="44">
        <x:f>+K65*0.1</x:f>
        <x:v>0</x:v>
      </x:c>
      <x:c r="M65" s="45">
        <x:f>+K65+L65</x:f>
        <x:v>0</x:v>
      </x:c>
      <x:c r="N65" s="37"/>
      <x:c r="V65" s="1"/>
    </x:row>
    <x:row r="66" spans="1:22" s="2" customFormat="1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  <x:c r="V66" s="1"/>
    </x:row>
    <x:row r="67" spans="1:22" s="2" customFormat="1" ht="20.100000000000001" customHeight="1">
      <x:c r="A67" s="300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300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  <x:c r="V67" s="1"/>
    </x:row>
    <x:row r="68" spans="1:22" s="2" customFormat="1" ht="20.100000000000001" customHeight="1">
      <x:c r="A68" s="7"/>
      <x:c r="B68" s="8"/>
      <x:c r="C68" s="8"/>
      <x:c r="D68" s="9">
        <x:f>SUM(D64:D67)</x:f>
        <x:v>78600000</x:v>
      </x:c>
      <x:c r="E68" s="9">
        <x:f>SUM(E64:E67)</x:f>
        <x:v>0</x:v>
      </x:c>
      <x:c r="F68" s="10">
        <x:f>SUM(F64:F67)</x:f>
        <x:v>78600000</x:v>
      </x:c>
      <x:c r="G68" s="11"/>
      <x:c r="H68" s="7" t="s">
        <x:v>155</x:v>
      </x:c>
      <x:c r="I68" s="8"/>
      <x:c r="J68" s="8"/>
      <x:c r="K68" s="9">
        <x:f>SUM(K64:K67)</x:f>
        <x:v>24585000</x:v>
      </x:c>
      <x:c r="L68" s="9">
        <x:f>SUM(L64:L67)</x:f>
        <x:v>0</x:v>
      </x:c>
      <x:c r="M68" s="10">
        <x:f>SUM(M64:M67)</x:f>
        <x:v>24585000</x:v>
      </x:c>
      <x:c r="N68" s="11"/>
      <x:c r="V68" s="1"/>
    </x:row>
    <x:row r="69" spans="1:22" s="2" customFormat="1" ht="20.100000000000001" customHeight="1">
      <x:c r="A69" s="301" t="s">
        <x:v>187</x:v>
      </x:c>
      <x:c r="B69" s="3" t="s">
        <x:v>1124</x:v>
      </x:c>
      <x:c r="C69" s="3" t="s">
        <x:v>1006</x:v>
      </x:c>
      <x:c r="D69" s="4">
        <x:v>600000</x:v>
      </x:c>
      <x:c r="E69" s="4">
        <x:f>+D69*0.1</x:f>
        <x:v>60000</x:v>
      </x:c>
      <x:c r="F69" s="5">
        <x:f>+D69+E69</x:f>
        <x:v>660000</x:v>
      </x:c>
      <x:c r="G69" s="6"/>
      <x:c r="H69" s="301" t="s">
        <x:v>187</x:v>
      </x:c>
      <x:c r="I69" s="3" t="s">
        <x:v>516</x:v>
      </x:c>
      <x:c r="J69" s="3" t="s">
        <x:v>948</x:v>
      </x:c>
      <x:c r="K69" s="4">
        <x:v>60000</x:v>
      </x:c>
      <x:c r="L69" s="4">
        <x:f>+K69*0.1</x:f>
        <x:v>6000</x:v>
      </x:c>
      <x:c r="M69" s="5">
        <x:f>+K69+L69</x:f>
        <x:v>66000</x:v>
      </x:c>
      <x:c r="N69" s="6"/>
      <x:c r="V69" s="1"/>
    </x:row>
    <x:row r="70" spans="1:22" s="2" customFormat="1" ht="20.100000000000001" customHeight="1">
      <x:c r="A70" s="299"/>
      <x:c r="B70" s="3"/>
      <x:c r="C70" s="3"/>
      <x:c r="D70" s="4"/>
      <x:c r="E70" s="4">
        <x:f>+D70*0.1</x:f>
        <x:v>0</x:v>
      </x:c>
      <x:c r="F70" s="5">
        <x:f>+D70+E70</x:f>
        <x:v>0</x:v>
      </x:c>
      <x:c r="G70" s="6"/>
      <x:c r="H70" s="299"/>
      <x:c r="I70" s="3"/>
      <x:c r="J70" s="3"/>
      <x:c r="K70" s="4"/>
      <x:c r="L70" s="4">
        <x:f>+K70*0.1</x:f>
        <x:v>0</x:v>
      </x:c>
      <x:c r="M70" s="5">
        <x:f>+K70+L70</x:f>
        <x:v>0</x:v>
      </x:c>
      <x:c r="N70" s="6"/>
      <x:c r="V70" s="1"/>
    </x:row>
    <x:row r="71" spans="1:22" s="2" customFormat="1" ht="20.100000000000001" customHeight="1">
      <x:c r="A71" s="299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299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  <x:c r="V71" s="1"/>
    </x:row>
    <x:row r="72" spans="1:22" s="2" customFormat="1" ht="20.100000000000001" customHeight="1">
      <x:c r="A72" s="300"/>
      <x:c r="B72" s="3"/>
      <x:c r="C72" s="3"/>
      <x:c r="D72" s="4"/>
      <x:c r="E72" s="4">
        <x:f>+D72*0.1</x:f>
        <x:v>0</x:v>
      </x:c>
      <x:c r="F72" s="5">
        <x:f>+D72+E72</x:f>
        <x:v>0</x:v>
      </x:c>
      <x:c r="G72" s="6"/>
      <x:c r="H72" s="300"/>
      <x:c r="I72" s="3"/>
      <x:c r="J72" s="3"/>
      <x:c r="K72" s="4"/>
      <x:c r="L72" s="4">
        <x:f>+K72*0.1</x:f>
        <x:v>0</x:v>
      </x:c>
      <x:c r="M72" s="5">
        <x:f>+K72+L72</x:f>
        <x:v>0</x:v>
      </x:c>
      <x:c r="N72" s="6"/>
      <x:c r="V72" s="1"/>
    </x:row>
    <x:row r="73" spans="1:22" s="2" customFormat="1" ht="20.100000000000001" customHeight="1">
      <x:c r="A73" s="7"/>
      <x:c r="B73" s="8"/>
      <x:c r="C73" s="8"/>
      <x:c r="D73" s="9">
        <x:f>SUM(D69:D72)</x:f>
        <x:v>600000</x:v>
      </x:c>
      <x:c r="E73" s="9">
        <x:f>SUM(E69:E72)</x:f>
        <x:v>60000</x:v>
      </x:c>
      <x:c r="F73" s="10">
        <x:f>SUM(F69:F72)</x:f>
        <x:v>660000</x:v>
      </x:c>
      <x:c r="G73" s="11"/>
      <x:c r="H73" s="7" t="s">
        <x:v>155</x:v>
      </x:c>
      <x:c r="I73" s="8"/>
      <x:c r="J73" s="8"/>
      <x:c r="K73" s="9">
        <x:f>SUM(K69:K72)</x:f>
        <x:v>60000</x:v>
      </x:c>
      <x:c r="L73" s="9">
        <x:f>SUM(L69:L72)</x:f>
        <x:v>6000</x:v>
      </x:c>
      <x:c r="M73" s="10">
        <x:f>SUM(M69:M72)</x:f>
        <x:v>66000</x:v>
      </x:c>
      <x:c r="N73" s="11"/>
      <x:c r="V73" s="1"/>
    </x:row>
    <x:row r="74" spans="1:22" s="2" customFormat="1" ht="20.100000000000001" customHeight="1">
      <x:c r="A74" s="301" t="s">
        <x:v>149</x:v>
      </x:c>
      <x:c r="B74" s="3" t="s">
        <x:v>283</x:v>
      </x:c>
      <x:c r="C74" s="3" t="s">
        <x:v>149</x:v>
      </x:c>
      <x:c r="D74" s="4">
        <x:v>780374</x:v>
      </x:c>
      <x:c r="E74" s="4"/>
      <x:c r="F74" s="5">
        <x:f t="shared" ref="F74:F80" si="12">+D74+E74</x:f>
        <x:v>780374</x:v>
      </x:c>
      <x:c r="G74" s="6"/>
      <x:c r="H74" s="301" t="s">
        <x:v>149</x:v>
      </x:c>
      <x:c r="I74" s="3" t="s">
        <x:v>248</x:v>
      </x:c>
      <x:c r="J74" s="3" t="s">
        <x:v>492</x:v>
      </x:c>
      <x:c r="K74" s="4">
        <x:v>610933</x:v>
      </x:c>
      <x:c r="L74" s="4"/>
      <x:c r="M74" s="5">
        <x:f>+K74+L74</x:f>
        <x:v>610933</x:v>
      </x:c>
      <x:c r="N74" s="6"/>
      <x:c r="V74" s="1"/>
    </x:row>
    <x:row r="75" spans="1:22" s="2" customFormat="1" ht="20.100000000000001" customHeight="1">
      <x:c r="A75" s="299"/>
      <x:c r="B75" s="3" t="s">
        <x:v>1680</x:v>
      </x:c>
      <x:c r="C75" s="3" t="s">
        <x:v>914</x:v>
      </x:c>
      <x:c r="D75" s="4">
        <x:v>100000</x:v>
      </x:c>
      <x:c r="E75" s="4">
        <x:f>+D75*0.1</x:f>
        <x:v>10000</x:v>
      </x:c>
      <x:c r="F75" s="5">
        <x:f t="shared" si="12"/>
        <x:v>110000</x:v>
      </x:c>
      <x:c r="G75" s="6"/>
      <x:c r="H75" s="299"/>
      <x:c r="I75" s="3" t="s">
        <x:v>284</x:v>
      </x:c>
      <x:c r="J75" s="3" t="s">
        <x:v>492</x:v>
      </x:c>
      <x:c r="K75" s="4">
        <x:f>772430+23220</x:f>
        <x:v>795650</x:v>
      </x:c>
      <x:c r="L75" s="4"/>
      <x:c r="M75" s="5">
        <x:f t="shared" ref="M75:M82" si="13">+K75+L75</x:f>
        <x:v>795650</x:v>
      </x:c>
      <x:c r="N75" s="6"/>
      <x:c r="V75" s="1"/>
    </x:row>
    <x:row r="76" spans="1:22" s="2" customFormat="1" ht="20.100000000000001" customHeight="1">
      <x:c r="A76" s="299"/>
      <x:c r="B76" s="3" t="s">
        <x:v>883</x:v>
      </x:c>
      <x:c r="C76" s="3" t="s">
        <x:v>1417</x:v>
      </x:c>
      <x:c r="D76" s="4"/>
      <x:c r="E76" s="4">
        <x:f>+D76*0.1</x:f>
        <x:v>0</x:v>
      </x:c>
      <x:c r="F76" s="5">
        <x:f t="shared" si="12"/>
        <x:v>0</x:v>
      </x:c>
      <x:c r="G76" s="6" t="s">
        <x:v>1468</x:v>
      </x:c>
      <x:c r="H76" s="299"/>
      <x:c r="I76" s="3" t="s">
        <x:v>249</x:v>
      </x:c>
      <x:c r="J76" s="3" t="s">
        <x:v>608</x:v>
      </x:c>
      <x:c r="K76" s="4">
        <x:v>550000</x:v>
      </x:c>
      <x:c r="L76" s="4"/>
      <x:c r="M76" s="5">
        <x:f t="shared" si="13"/>
        <x:v>550000</x:v>
      </x:c>
      <x:c r="N76" s="6"/>
      <x:c r="V76" s="1"/>
    </x:row>
    <x:row r="77" spans="1:22" s="2" customFormat="1" ht="20.100000000000001" customHeight="1">
      <x:c r="A77" s="299"/>
      <x:c r="B77" s="3" t="s">
        <x:v>247</x:v>
      </x:c>
      <x:c r="C77" s="3" t="s">
        <x:v>231</x:v>
      </x:c>
      <x:c r="D77" s="4">
        <x:f>38301</x:f>
        <x:v>38301</x:v>
      </x:c>
      <x:c r="E77" s="4">
        <x:f>+D77*0.1</x:f>
        <x:v>3830.1000000000004</x:v>
      </x:c>
      <x:c r="F77" s="5">
        <x:f t="shared" si="12"/>
        <x:v>42131.099999999999</x:v>
      </x:c>
      <x:c r="G77" s="6"/>
      <x:c r="H77" s="299"/>
      <x:c r="I77" s="3" t="s">
        <x:v>947</x:v>
      </x:c>
      <x:c r="J77" s="3" t="s">
        <x:v>914</x:v>
      </x:c>
      <x:c r="K77" s="4">
        <x:v>100000</x:v>
      </x:c>
      <x:c r="L77" s="4">
        <x:f>+K77*0.1</x:f>
        <x:v>10000</x:v>
      </x:c>
      <x:c r="M77" s="5">
        <x:f t="shared" si="13"/>
        <x:v>110000</x:v>
      </x:c>
      <x:c r="N77" s="6"/>
      <x:c r="V77" s="1"/>
    </x:row>
    <x:row r="78" spans="1:22" s="2" customFormat="1" ht="20.100000000000001" customHeight="1">
      <x:c r="A78" s="299"/>
      <x:c r="B78" s="3" t="s">
        <x:v>1442</x:v>
      </x:c>
      <x:c r="C78" s="3" t="s">
        <x:v>167</x:v>
      </x:c>
      <x:c r="D78" s="4">
        <x:v>290000</x:v>
      </x:c>
      <x:c r="E78" s="4">
        <x:f>+D78*0.1</x:f>
        <x:v>29000</x:v>
      </x:c>
      <x:c r="F78" s="5">
        <x:f t="shared" si="12"/>
        <x:v>319000</x:v>
      </x:c>
      <x:c r="G78" s="6"/>
      <x:c r="H78" s="299"/>
      <x:c r="I78" s="3" t="s">
        <x:v>1340</x:v>
      </x:c>
      <x:c r="J78" s="3" t="s">
        <x:v>28</x:v>
      </x:c>
      <x:c r="K78" s="4">
        <x:v>621500</x:v>
      </x:c>
      <x:c r="L78" s="4">
        <x:f>+K78*0.1</x:f>
        <x:v>62150</x:v>
      </x:c>
      <x:c r="M78" s="5">
        <x:f t="shared" si="13"/>
        <x:v>683650</x:v>
      </x:c>
      <x:c r="N78" s="6"/>
      <x:c r="V78" s="1"/>
    </x:row>
    <x:row r="79" spans="1:22" s="2" customFormat="1" ht="20.100000000000001" customHeight="1">
      <x:c r="A79" s="299"/>
      <x:c r="B79" s="3" t="s">
        <x:v>1041</x:v>
      </x:c>
      <x:c r="C79" s="3" t="s">
        <x:v>1446</x:v>
      </x:c>
      <x:c r="D79" s="4">
        <x:v>230000</x:v>
      </x:c>
      <x:c r="E79" s="4">
        <x:f>+D79*0.1</x:f>
        <x:v>23000</x:v>
      </x:c>
      <x:c r="F79" s="5">
        <x:f t="shared" si="12"/>
        <x:v>253000</x:v>
      </x:c>
      <x:c r="G79" s="6"/>
      <x:c r="H79" s="299"/>
      <x:c r="I79" s="3" t="s">
        <x:v>247</x:v>
      </x:c>
      <x:c r="J79" s="3" t="s">
        <x:v>231</x:v>
      </x:c>
      <x:c r="K79" s="4">
        <x:f>5948+21000</x:f>
        <x:v>26948</x:v>
      </x:c>
      <x:c r="L79" s="4">
        <x:f>+K79*0.1-1</x:f>
        <x:v>2693.8000000000002</x:v>
      </x:c>
      <x:c r="M79" s="5">
        <x:f t="shared" si="13"/>
        <x:v>29641.799999999999</x:v>
      </x:c>
      <x:c r="N79" s="6" t="s">
        <x:v>1451</x:v>
      </x:c>
      <x:c r="V79" s="1"/>
    </x:row>
    <x:row r="80" spans="1:22" s="2" customFormat="1" ht="20.100000000000001" customHeight="1">
      <x:c r="A80" s="299"/>
      <x:c r="B80" s="3"/>
      <x:c r="C80" s="3"/>
      <x:c r="D80" s="4"/>
      <x:c r="E80" s="4"/>
      <x:c r="F80" s="5">
        <x:f t="shared" si="12"/>
        <x:v>0</x:v>
      </x:c>
      <x:c r="G80" s="6"/>
      <x:c r="H80" s="299"/>
      <x:c r="I80" s="3" t="s">
        <x:v>926</x:v>
      </x:c>
      <x:c r="J80" s="3" t="s">
        <x:v>404</x:v>
      </x:c>
      <x:c r="K80" s="4">
        <x:v>385340</x:v>
      </x:c>
      <x:c r="L80" s="4"/>
      <x:c r="M80" s="5">
        <x:f t="shared" si="13"/>
        <x:v>385340</x:v>
      </x:c>
      <x:c r="N80" s="6"/>
      <x:c r="V80" s="1"/>
    </x:row>
    <x:row r="81" spans="1:22" s="2" customFormat="1" ht="20.100000000000001" customHeight="1">
      <x:c r="A81" s="299"/>
      <x:c r="B81" s="3"/>
      <x:c r="C81" s="3"/>
      <x:c r="D81" s="4"/>
      <x:c r="E81" s="4"/>
      <x:c r="F81" s="5">
        <x:f>+D81+E81</x:f>
        <x:v>0</x:v>
      </x:c>
      <x:c r="G81" s="6"/>
      <x:c r="H81" s="299"/>
      <x:c r="I81" s="3" t="s">
        <x:v>1429</x:v>
      </x:c>
      <x:c r="J81" s="3" t="s">
        <x:v>167</x:v>
      </x:c>
      <x:c r="K81" s="4">
        <x:v>256000</x:v>
      </x:c>
      <x:c r="L81" s="4">
        <x:f>+K81*0.1</x:f>
        <x:v>25600</x:v>
      </x:c>
      <x:c r="M81" s="5">
        <x:f t="shared" si="13"/>
        <x:v>281600</x:v>
      </x:c>
      <x:c r="N81" s="6"/>
      <x:c r="V81" s="1"/>
    </x:row>
    <x:row r="82" spans="1:22" s="2" customFormat="1" ht="20.100000000000001" customHeight="1">
      <x:c r="A82" s="299"/>
      <x:c r="B82" s="3"/>
      <x:c r="C82" s="3"/>
      <x:c r="D82" s="4"/>
      <x:c r="E82" s="4"/>
      <x:c r="F82" s="5">
        <x:f>+D82+E82</x:f>
        <x:v>0</x:v>
      </x:c>
      <x:c r="G82" s="6"/>
      <x:c r="H82" s="299"/>
      <x:c r="I82" s="3" t="s">
        <x:v>1169</x:v>
      </x:c>
      <x:c r="J82" s="3" t="s">
        <x:v>1471</x:v>
      </x:c>
      <x:c r="K82" s="4">
        <x:v>500000</x:v>
      </x:c>
      <x:c r="L82" s="4">
        <x:f>+K82*0.1</x:f>
        <x:v>50000</x:v>
      </x:c>
      <x:c r="M82" s="5">
        <x:f t="shared" si="13"/>
        <x:v>550000</x:v>
      </x:c>
      <x:c r="N82" s="6"/>
      <x:c r="V82" s="1"/>
    </x:row>
    <x:row r="83" spans="1:22" s="2" customFormat="1" ht="20.100000000000001" customHeight="1">
      <x:c r="A83" s="300"/>
      <x:c r="B83" s="3"/>
      <x:c r="C83" s="3"/>
      <x:c r="D83" s="4"/>
      <x:c r="E83" s="4"/>
      <x:c r="F83" s="5">
        <x:f>+D83+E83</x:f>
        <x:v>0</x:v>
      </x:c>
      <x:c r="G83" s="6"/>
      <x:c r="H83" s="300"/>
      <x:c r="I83" s="3"/>
      <x:c r="J83" s="3"/>
      <x:c r="K83" s="4"/>
      <x:c r="L83" s="4">
        <x:f>+K83*0.1</x:f>
        <x:v>0</x:v>
      </x:c>
      <x:c r="M83" s="5">
        <x:f>+K83+L83</x:f>
        <x:v>0</x:v>
      </x:c>
      <x:c r="N83" s="6"/>
      <x:c r="V83" s="1"/>
    </x:row>
    <x:row r="84" spans="1:22" s="2" customFormat="1" ht="20.100000000000001" customHeight="1">
      <x:c r="A84" s="7"/>
      <x:c r="B84" s="8"/>
      <x:c r="C84" s="8"/>
      <x:c r="D84" s="9">
        <x:f>SUM(D74:D83)</x:f>
        <x:v>1438675</x:v>
      </x:c>
      <x:c r="E84" s="9">
        <x:f>SUM(E74:E83)</x:f>
        <x:v>65830.100000000006</x:v>
      </x:c>
      <x:c r="F84" s="10">
        <x:f>SUM(F74:F83)</x:f>
        <x:v>1504505.1000000001</x:v>
      </x:c>
      <x:c r="G84" s="11"/>
      <x:c r="H84" s="7" t="s">
        <x:v>155</x:v>
      </x:c>
      <x:c r="I84" s="8"/>
      <x:c r="J84" s="8"/>
      <x:c r="K84" s="9">
        <x:f>SUM(K74:K83)</x:f>
        <x:v>3846371</x:v>
      </x:c>
      <x:c r="L84" s="9">
        <x:f>SUM(L74:L83)</x:f>
        <x:v>150443.79999999999</x:v>
      </x:c>
      <x:c r="M84" s="10">
        <x:f>SUM(M74:M83)</x:f>
        <x:v>3996814.7999999998</x:v>
      </x:c>
      <x:c r="N84" s="11"/>
      <x:c r="V84" s="1"/>
    </x:row>
    <x:row r="85" spans="1:22" s="2" customFormat="1" ht="20.100000000000001" customHeight="1">
      <x:c r="A85" s="12" t="s">
        <x:v>1690</x:v>
      </x:c>
      <x:c r="B85" s="13"/>
      <x:c r="C85" s="13"/>
      <x:c r="D85" s="14">
        <x:f>+D63+D68+D73+D84</x:f>
        <x:v>118612661</x:v>
      </x:c>
      <x:c r="E85" s="14">
        <x:f>+E63+E68+E73+E84</x:f>
        <x:v>3923228.1000000001</x:v>
      </x:c>
      <x:c r="F85" s="15">
        <x:f>+F63+F68+F73+F84</x:f>
        <x:v>122535889.09999999</x:v>
      </x:c>
      <x:c r="G85" s="16"/>
      <x:c r="H85" s="12" t="s">
        <x:v>1690</x:v>
      </x:c>
      <x:c r="I85" s="13"/>
      <x:c r="J85" s="13"/>
      <x:c r="K85" s="14">
        <x:f>+K63+K68+K73+K84</x:f>
        <x:v>39697376</x:v>
      </x:c>
      <x:c r="L85" s="14">
        <x:f>+L63+L68+L73+L84</x:f>
        <x:v>1277042.8</x:v>
      </x:c>
      <x:c r="M85" s="15">
        <x:f>+M63+M68+M73+M84</x:f>
        <x:v>40974418.799999997</x:v>
      </x:c>
      <x:c r="N85" s="16"/>
      <x:c r="V85" s="1"/>
    </x:row>
    <x:row r="86" spans="1:22" s="2" customFormat="1" ht="20.100000000000001" customHeight="1">
      <x:c r="A86" s="23" t="s">
        <x:v>35</x:v>
      </x:c>
      <x:c r="B86" s="24"/>
      <x:c r="C86" s="24"/>
      <x:c r="D86" s="25">
        <x:f>+D46-D85</x:f>
        <x:v>-68612661</x:v>
      </x:c>
      <x:c r="E86" s="25">
        <x:f>+E46-E85</x:f>
        <x:v>1076771.8999999999</x:v>
      </x:c>
      <x:c r="F86" s="26">
        <x:f>+F46-F85</x:f>
        <x:v>-67535889.099999994</x:v>
      </x:c>
      <x:c r="G86" s="27"/>
      <x:c r="H86" s="23" t="s">
        <x:v>35</x:v>
      </x:c>
      <x:c r="I86" s="24"/>
      <x:c r="J86" s="24"/>
      <x:c r="K86" s="25">
        <x:f>+K46-K85</x:f>
        <x:v>-39697376</x:v>
      </x:c>
      <x:c r="L86" s="25">
        <x:f>+L46-L85</x:f>
        <x:v>-1277042.8</x:v>
      </x:c>
      <x:c r="M86" s="26">
        <x:f>+M46-M85</x:f>
        <x:v>-40974418.799999997</x:v>
      </x:c>
      <x:c r="N86" s="27"/>
      <x:c r="V86" s="1"/>
    </x:row>
    <x:row r="87" spans="1:22" s="2" customFormat="1" ht="20.100000000000001" customHeight="1">
      <x:c r="A87" s="302" t="s">
        <x:v>415</x:v>
      </x:c>
      <x:c r="B87" s="303"/>
      <x:c r="C87" s="303"/>
      <x:c r="D87" s="303"/>
      <x:c r="E87" s="303"/>
      <x:c r="F87" s="304"/>
      <x:c r="G87" s="305"/>
      <x:c r="H87" s="302" t="s">
        <x:v>466</x:v>
      </x:c>
      <x:c r="I87" s="303"/>
      <x:c r="J87" s="303"/>
      <x:c r="K87" s="303"/>
      <x:c r="L87" s="303"/>
      <x:c r="M87" s="304"/>
      <x:c r="N87" s="305"/>
      <x:c r="V87" s="1"/>
    </x:row>
    <x:row r="88" spans="1:22" s="2" customFormat="1" ht="20.100000000000001" customHeight="1">
      <x:c r="A88" s="29" t="s">
        <x:v>147</x:v>
      </x:c>
      <x:c r="B88" s="208" t="s">
        <x:v>144</x:v>
      </x:c>
      <x:c r="C88" s="208" t="s">
        <x:v>150</x:v>
      </x:c>
      <x:c r="D88" s="31" t="s">
        <x:v>145</x:v>
      </x:c>
      <x:c r="E88" s="31" t="s">
        <x:v>152</x:v>
      </x:c>
      <x:c r="F88" s="31" t="s">
        <x:v>146</x:v>
      </x:c>
      <x:c r="G88" s="34" t="s">
        <x:v>154</x:v>
      </x:c>
      <x:c r="H88" s="29" t="s">
        <x:v>147</x:v>
      </x:c>
      <x:c r="I88" s="208" t="s">
        <x:v>144</x:v>
      </x:c>
      <x:c r="J88" s="208" t="s">
        <x:v>150</x:v>
      </x:c>
      <x:c r="K88" s="31" t="s">
        <x:v>145</x:v>
      </x:c>
      <x:c r="L88" s="31" t="s">
        <x:v>152</x:v>
      </x:c>
      <x:c r="M88" s="32" t="s">
        <x:v>146</x:v>
      </x:c>
      <x:c r="N88" s="33" t="s">
        <x:v>154</x:v>
      </x:c>
      <x:c r="V88" s="1"/>
    </x:row>
    <x:row r="89" spans="1:22" s="2" customFormat="1" ht="20.100000000000001" customHeight="1">
      <x:c r="A89" s="41" t="s">
        <x:v>151</x:v>
      </x:c>
      <x:c r="B89" s="38" t="s">
        <x:v>1679</x:v>
      </x:c>
      <x:c r="C89" s="38" t="s">
        <x:v>791</x:v>
      </x:c>
      <x:c r="D89" s="39">
        <x:v>47000000</x:v>
      </x:c>
      <x:c r="E89" s="39">
        <x:f>+D89*0.1</x:f>
        <x:v>4700000</x:v>
      </x:c>
      <x:c r="F89" s="40">
        <x:f>+D89+E89</x:f>
        <x:v>51700000</x:v>
      </x:c>
      <x:c r="G89" s="42"/>
      <x:c r="H89" s="207" t="s">
        <x:v>151</x:v>
      </x:c>
      <x:c r="I89" s="38" t="s">
        <x:v>1679</x:v>
      </x:c>
      <x:c r="J89" s="38" t="s">
        <x:v>791</x:v>
      </x:c>
      <x:c r="K89" s="39">
        <x:v>29000000</x:v>
      </x:c>
      <x:c r="L89" s="39">
        <x:f>+K89*0.1</x:f>
        <x:v>2900000</x:v>
      </x:c>
      <x:c r="M89" s="40">
        <x:f t="shared" ref="M89:M98" si="14">+K89+L89</x:f>
        <x:v>31900000</x:v>
      </x:c>
      <x:c r="N89" s="18"/>
      <x:c r="V89" s="1"/>
    </x:row>
    <x:row r="90" spans="1:22" s="2" customFormat="1" ht="20.100000000000001" customHeight="1">
      <x:c r="A90" s="298" t="s">
        <x:v>148</x:v>
      </x:c>
      <x:c r="B90" s="19" t="s">
        <x:v>867</x:v>
      </x:c>
      <x:c r="C90" s="54" t="s">
        <x:v>374</x:v>
      </x:c>
      <x:c r="D90" s="20">
        <x:v>11292250</x:v>
      </x:c>
      <x:c r="E90" s="20">
        <x:f t="shared" ref="E90:E98" si="15">+INT(D90*0.1)</x:f>
        <x:v>1129225</x:v>
      </x:c>
      <x:c r="F90" s="21">
        <x:f t="shared" ref="F90:F96" si="16">+D90+E90</x:f>
        <x:v>12421475</x:v>
      </x:c>
      <x:c r="G90" s="22"/>
      <x:c r="H90" s="298" t="s">
        <x:v>148</x:v>
      </x:c>
      <x:c r="I90" s="54" t="s">
        <x:v>867</x:v>
      </x:c>
      <x:c r="J90" s="54" t="s">
        <x:v>369</x:v>
      </x:c>
      <x:c r="K90" s="93"/>
      <x:c r="L90" s="93">
        <x:f t="shared" ref="L90:L98" si="17">+INT(K90*0.1)</x:f>
        <x:v>0</x:v>
      </x:c>
      <x:c r="M90" s="94">
        <x:f t="shared" si="14"/>
        <x:v>0</x:v>
      </x:c>
      <x:c r="N90" s="95"/>
      <x:c r="V90" s="1"/>
    </x:row>
    <x:row r="91" spans="1:22" s="2" customFormat="1" ht="20.100000000000001" customHeight="1">
      <x:c r="A91" s="299"/>
      <x:c r="B91" s="3" t="s">
        <x:v>976</x:v>
      </x:c>
      <x:c r="C91" s="3" t="s">
        <x:v>508</x:v>
      </x:c>
      <x:c r="D91" s="4">
        <x:v>696000</x:v>
      </x:c>
      <x:c r="E91" s="4">
        <x:f t="shared" si="15"/>
        <x:v>69600</x:v>
      </x:c>
      <x:c r="F91" s="5">
        <x:f t="shared" si="16"/>
        <x:v>765600</x:v>
      </x:c>
      <x:c r="G91" s="6"/>
      <x:c r="H91" s="299"/>
      <x:c r="I91" s="162" t="s">
        <x:v>1348</x:v>
      </x:c>
      <x:c r="J91" s="162"/>
      <x:c r="K91" s="163"/>
      <x:c r="L91" s="163">
        <x:f t="shared" si="17"/>
        <x:v>0</x:v>
      </x:c>
      <x:c r="M91" s="164">
        <x:f t="shared" si="14"/>
        <x:v>0</x:v>
      </x:c>
      <x:c r="N91" s="158"/>
      <x:c r="V91" s="1"/>
    </x:row>
    <x:row r="92" spans="1:22" s="2" customFormat="1" ht="20.100000000000001" customHeight="1">
      <x:c r="A92" s="299"/>
      <x:c r="B92" s="3" t="s">
        <x:v>1348</x:v>
      </x:c>
      <x:c r="C92" s="3" t="s">
        <x:v>501</x:v>
      </x:c>
      <x:c r="D92" s="4">
        <x:v>425300</x:v>
      </x:c>
      <x:c r="E92" s="4">
        <x:f t="shared" si="15"/>
        <x:v>42530</x:v>
      </x:c>
      <x:c r="F92" s="5">
        <x:f t="shared" si="16"/>
        <x:v>467830</x:v>
      </x:c>
      <x:c r="G92" s="6"/>
      <x:c r="H92" s="299"/>
      <x:c r="I92" s="3" t="s">
        <x:v>902</x:v>
      </x:c>
      <x:c r="J92" s="3" t="s">
        <x:v>509</x:v>
      </x:c>
      <x:c r="K92" s="4">
        <x:v>862400</x:v>
      </x:c>
      <x:c r="L92" s="4">
        <x:f t="shared" si="17"/>
        <x:v>86240</x:v>
      </x:c>
      <x:c r="M92" s="5">
        <x:f t="shared" si="14"/>
        <x:v>948640</x:v>
      </x:c>
      <x:c r="N92" s="6"/>
      <x:c r="V92" s="1"/>
    </x:row>
    <x:row r="93" spans="1:22" s="2" customFormat="1" ht="20.100000000000001" customHeight="1">
      <x:c r="A93" s="299"/>
      <x:c r="B93" s="3" t="s">
        <x:v>938</x:v>
      </x:c>
      <x:c r="C93" s="3" t="s">
        <x:v>953</x:v>
      </x:c>
      <x:c r="D93" s="4">
        <x:v>1390000</x:v>
      </x:c>
      <x:c r="E93" s="4">
        <x:f t="shared" si="15"/>
        <x:v>139000</x:v>
      </x:c>
      <x:c r="F93" s="5">
        <x:f t="shared" si="16"/>
        <x:v>1529000</x:v>
      </x:c>
      <x:c r="G93" s="6"/>
      <x:c r="H93" s="299"/>
      <x:c r="I93" s="3" t="s">
        <x:v>938</x:v>
      </x:c>
      <x:c r="J93" s="3" t="s">
        <x:v>953</x:v>
      </x:c>
      <x:c r="K93" s="4">
        <x:v>1818000</x:v>
      </x:c>
      <x:c r="L93" s="4">
        <x:f t="shared" si="17"/>
        <x:v>181800</x:v>
      </x:c>
      <x:c r="M93" s="5">
        <x:f t="shared" si="14"/>
        <x:v>1999800</x:v>
      </x:c>
      <x:c r="N93" s="6"/>
      <x:c r="V93" s="1"/>
    </x:row>
    <x:row r="94" spans="1:22" s="2" customFormat="1" ht="20.100000000000001" customHeight="1">
      <x:c r="A94" s="299"/>
      <x:c r="B94" s="3" t="s">
        <x:v>838</x:v>
      </x:c>
      <x:c r="C94" s="3" t="s">
        <x:v>1116</x:v>
      </x:c>
      <x:c r="D94" s="4">
        <x:v>70400</x:v>
      </x:c>
      <x:c r="E94" s="4">
        <x:f t="shared" si="15"/>
        <x:v>7040</x:v>
      </x:c>
      <x:c r="F94" s="5">
        <x:f t="shared" si="16"/>
        <x:v>77440</x:v>
      </x:c>
      <x:c r="G94" s="6"/>
      <x:c r="H94" s="299"/>
      <x:c r="I94" s="3" t="s">
        <x:v>976</x:v>
      </x:c>
      <x:c r="J94" s="3"/>
      <x:c r="K94" s="4"/>
      <x:c r="L94" s="4">
        <x:f t="shared" si="17"/>
        <x:v>0</x:v>
      </x:c>
      <x:c r="M94" s="5">
        <x:f t="shared" si="14"/>
        <x:v>0</x:v>
      </x:c>
      <x:c r="N94" s="6"/>
      <x:c r="V94" s="1"/>
    </x:row>
    <x:row r="95" spans="1:22" s="2" customFormat="1" ht="20.100000000000001" customHeight="1">
      <x:c r="A95" s="299"/>
      <x:c r="B95" s="3" t="s">
        <x:v>1378</x:v>
      </x:c>
      <x:c r="C95" s="3" t="s">
        <x:v>453</x:v>
      </x:c>
      <x:c r="D95" s="4">
        <x:v>2378558</x:v>
      </x:c>
      <x:c r="E95" s="4">
        <x:f>+INT(D95*0.1)+1</x:f>
        <x:v>237856</x:v>
      </x:c>
      <x:c r="F95" s="5">
        <x:f t="shared" si="16"/>
        <x:v>2616414</x:v>
      </x:c>
      <x:c r="G95" s="6"/>
      <x:c r="H95" s="299"/>
      <x:c r="I95" s="3" t="s">
        <x:v>483</x:v>
      </x:c>
      <x:c r="J95" s="3"/>
      <x:c r="K95" s="4"/>
      <x:c r="L95" s="4">
        <x:f t="shared" si="17"/>
        <x:v>0</x:v>
      </x:c>
      <x:c r="M95" s="5">
        <x:f t="shared" si="14"/>
        <x:v>0</x:v>
      </x:c>
      <x:c r="N95" s="6"/>
      <x:c r="V95" s="1"/>
    </x:row>
    <x:row r="96" spans="1:22" s="2" customFormat="1" ht="20.100000000000001" customHeight="1">
      <x:c r="A96" s="299"/>
      <x:c r="B96" s="3" t="s">
        <x:v>1058</x:v>
      </x:c>
      <x:c r="C96" s="3" t="s">
        <x:v>496</x:v>
      </x:c>
      <x:c r="D96" s="4">
        <x:v>7531140</x:v>
      </x:c>
      <x:c r="E96" s="4">
        <x:f t="shared" si="15"/>
        <x:v>753114</x:v>
      </x:c>
      <x:c r="F96" s="5">
        <x:f t="shared" si="16"/>
        <x:v>8284254</x:v>
      </x:c>
      <x:c r="G96" s="6"/>
      <x:c r="H96" s="299"/>
      <x:c r="I96" s="3" t="s">
        <x:v>1378</x:v>
      </x:c>
      <x:c r="J96" s="3" t="s">
        <x:v>434</x:v>
      </x:c>
      <x:c r="K96" s="4">
        <x:v>36200</x:v>
      </x:c>
      <x:c r="L96" s="4">
        <x:f t="shared" si="17"/>
        <x:v>3620</x:v>
      </x:c>
      <x:c r="M96" s="5">
        <x:f t="shared" si="14"/>
        <x:v>39820</x:v>
      </x:c>
      <x:c r="N96" s="6"/>
      <x:c r="V96" s="1"/>
    </x:row>
    <x:row r="97" spans="1:22" s="2" customFormat="1" ht="20.100000000000001" customHeight="1">
      <x:c r="A97" s="299"/>
      <x:c r="B97" s="3" t="s">
        <x:v>1119</x:v>
      </x:c>
      <x:c r="C97" s="3" t="s">
        <x:v>498</x:v>
      </x:c>
      <x:c r="D97" s="4">
        <x:v>273000</x:v>
      </x:c>
      <x:c r="E97" s="4">
        <x:f t="shared" si="15"/>
        <x:v>27300</x:v>
      </x:c>
      <x:c r="F97" s="5">
        <x:f>+D97+E97</x:f>
        <x:v>300300</x:v>
      </x:c>
      <x:c r="G97" s="6"/>
      <x:c r="H97" s="299"/>
      <x:c r="I97" s="3" t="s">
        <x:v>1058</x:v>
      </x:c>
      <x:c r="J97" s="3" t="s">
        <x:v>748</x:v>
      </x:c>
      <x:c r="K97" s="4">
        <x:v>9372350</x:v>
      </x:c>
      <x:c r="L97" s="4">
        <x:f t="shared" si="17"/>
        <x:v>937235</x:v>
      </x:c>
      <x:c r="M97" s="5">
        <x:f t="shared" si="14"/>
        <x:v>10309585</x:v>
      </x:c>
      <x:c r="N97" s="6"/>
      <x:c r="V97" s="1"/>
    </x:row>
    <x:row r="98" spans="1:22" s="2" customFormat="1" ht="20.100000000000001" customHeight="1">
      <x:c r="A98" s="299"/>
      <x:c r="B98" s="3" t="s">
        <x:v>1319</x:v>
      </x:c>
      <x:c r="C98" s="3" t="s">
        <x:v>1295</x:v>
      </x:c>
      <x:c r="D98" s="4">
        <x:f>64000+48000</x:f>
        <x:v>112000</x:v>
      </x:c>
      <x:c r="E98" s="4">
        <x:f t="shared" si="15"/>
        <x:v>11200</x:v>
      </x:c>
      <x:c r="F98" s="5">
        <x:f t="shared" ref="F98:F105" si="18">+D98+E98</x:f>
        <x:v>123200</x:v>
      </x:c>
      <x:c r="G98" s="6"/>
      <x:c r="H98" s="299"/>
      <x:c r="I98" s="3" t="s">
        <x:v>1119</x:v>
      </x:c>
      <x:c r="J98" s="3" t="s">
        <x:v>718</x:v>
      </x:c>
      <x:c r="K98" s="4">
        <x:v>45000</x:v>
      </x:c>
      <x:c r="L98" s="4">
        <x:f t="shared" si="17"/>
        <x:v>4500</x:v>
      </x:c>
      <x:c r="M98" s="5">
        <x:f t="shared" si="14"/>
        <x:v>49500</x:v>
      </x:c>
      <x:c r="N98" s="6"/>
      <x:c r="V98" s="1"/>
    </x:row>
    <x:row r="99" spans="1:22" s="2" customFormat="1" ht="20.100000000000001" customHeight="1">
      <x:c r="A99" s="299"/>
      <x:c r="B99" s="3" t="s">
        <x:v>228</x:v>
      </x:c>
      <x:c r="C99" s="3" t="s">
        <x:v>1112</x:v>
      </x:c>
      <x:c r="D99" s="4">
        <x:v>4860700</x:v>
      </x:c>
      <x:c r="E99" s="4">
        <x:f>+D99*0.1</x:f>
        <x:v>486070</x:v>
      </x:c>
      <x:c r="F99" s="5">
        <x:f t="shared" si="18"/>
        <x:v>5346770</x:v>
      </x:c>
      <x:c r="G99" s="6"/>
      <x:c r="H99" s="299"/>
      <x:c r="I99" s="3" t="s">
        <x:v>846</x:v>
      </x:c>
      <x:c r="J99" s="3" t="s">
        <x:v>1466</x:v>
      </x:c>
      <x:c r="K99" s="4">
        <x:v>783700</x:v>
      </x:c>
      <x:c r="L99" s="4">
        <x:f>+INT(K99*0.1)</x:f>
        <x:v>78370</x:v>
      </x:c>
      <x:c r="M99" s="5">
        <x:f t="shared" ref="M99:M104" si="19">+K99+L99</x:f>
        <x:v>862070</x:v>
      </x:c>
      <x:c r="N99" s="6"/>
      <x:c r="V99" s="1"/>
    </x:row>
    <x:row r="100" spans="1:22" s="2" customFormat="1" ht="20.100000000000001" customHeight="1">
      <x:c r="A100" s="299"/>
      <x:c r="B100" s="3" t="s">
        <x:v>854</x:v>
      </x:c>
      <x:c r="C100" s="3" t="s">
        <x:v>1704</x:v>
      </x:c>
      <x:c r="D100" s="4">
        <x:v>1159320</x:v>
      </x:c>
      <x:c r="E100" s="4">
        <x:f>+D100*0.1</x:f>
        <x:v>115932</x:v>
      </x:c>
      <x:c r="F100" s="5">
        <x:f t="shared" si="18"/>
        <x:v>1275252</x:v>
      </x:c>
      <x:c r="G100" s="6"/>
      <x:c r="H100" s="299"/>
      <x:c r="I100" s="3"/>
      <x:c r="J100" s="3"/>
      <x:c r="K100" s="4"/>
      <x:c r="L100" s="4"/>
      <x:c r="M100" s="5">
        <x:f t="shared" si="19"/>
        <x:v>0</x:v>
      </x:c>
      <x:c r="N100" s="6"/>
      <x:c r="V100" s="1"/>
    </x:row>
    <x:row r="101" spans="1:22" s="2" customFormat="1" ht="20.100000000000001" customHeight="1">
      <x:c r="A101" s="299"/>
      <x:c r="B101" s="3"/>
      <x:c r="C101" s="3"/>
      <x:c r="D101" s="4"/>
      <x:c r="E101" s="4"/>
      <x:c r="F101" s="5">
        <x:f t="shared" si="18"/>
        <x:v>0</x:v>
      </x:c>
      <x:c r="G101" s="6"/>
      <x:c r="H101" s="299"/>
      <x:c r="I101" s="3"/>
      <x:c r="J101" s="3"/>
      <x:c r="K101" s="4"/>
      <x:c r="L101" s="4"/>
      <x:c r="M101" s="5">
        <x:f t="shared" si="19"/>
        <x:v>0</x:v>
      </x:c>
      <x:c r="N101" s="6"/>
      <x:c r="V101" s="1"/>
    </x:row>
    <x:row r="102" spans="1:22" s="2" customFormat="1" ht="20.100000000000001" customHeight="1">
      <x:c r="A102" s="299"/>
      <x:c r="B102" s="3"/>
      <x:c r="C102" s="3"/>
      <x:c r="D102" s="4"/>
      <x:c r="E102" s="4"/>
      <x:c r="F102" s="5">
        <x:f t="shared" si="18"/>
        <x:v>0</x:v>
      </x:c>
      <x:c r="G102" s="6"/>
      <x:c r="H102" s="299"/>
      <x:c r="I102" s="3"/>
      <x:c r="J102" s="3"/>
      <x:c r="K102" s="4"/>
      <x:c r="L102" s="4"/>
      <x:c r="M102" s="5">
        <x:f t="shared" si="19"/>
        <x:v>0</x:v>
      </x:c>
      <x:c r="N102" s="6"/>
      <x:c r="V102" s="1"/>
    </x:row>
    <x:row r="103" spans="1:22" s="2" customFormat="1" ht="20.100000000000001" customHeight="1">
      <x:c r="A103" s="299"/>
      <x:c r="B103" s="3"/>
      <x:c r="C103" s="3"/>
      <x:c r="D103" s="4"/>
      <x:c r="E103" s="4"/>
      <x:c r="F103" s="5">
        <x:f t="shared" si="18"/>
        <x:v>0</x:v>
      </x:c>
      <x:c r="G103" s="6"/>
      <x:c r="H103" s="299"/>
      <x:c r="I103" s="3"/>
      <x:c r="J103" s="3"/>
      <x:c r="K103" s="4"/>
      <x:c r="L103" s="4"/>
      <x:c r="M103" s="5">
        <x:f t="shared" si="19"/>
        <x:v>0</x:v>
      </x:c>
      <x:c r="N103" s="6"/>
      <x:c r="V103" s="1"/>
    </x:row>
    <x:row r="104" spans="1:22" s="2" customFormat="1" ht="20.100000000000001" customHeight="1">
      <x:c r="A104" s="299"/>
      <x:c r="B104" s="3"/>
      <x:c r="C104" s="3"/>
      <x:c r="D104" s="4"/>
      <x:c r="E104" s="4"/>
      <x:c r="F104" s="5">
        <x:f t="shared" si="18"/>
        <x:v>0</x:v>
      </x:c>
      <x:c r="G104" s="6"/>
      <x:c r="H104" s="299"/>
      <x:c r="I104" s="3"/>
      <x:c r="J104" s="3"/>
      <x:c r="K104" s="4"/>
      <x:c r="L104" s="4"/>
      <x:c r="M104" s="5">
        <x:f t="shared" si="19"/>
        <x:v>0</x:v>
      </x:c>
      <x:c r="N104" s="6"/>
      <x:c r="V104" s="1"/>
    </x:row>
    <x:row r="105" spans="1:22" s="2" customFormat="1" ht="20.100000000000001" customHeight="1">
      <x:c r="A105" s="299"/>
      <x:c r="B105" s="3"/>
      <x:c r="C105" s="3"/>
      <x:c r="D105" s="4"/>
      <x:c r="E105" s="4"/>
      <x:c r="F105" s="5">
        <x:f t="shared" si="18"/>
        <x:v>0</x:v>
      </x:c>
      <x:c r="G105" s="6"/>
      <x:c r="H105" s="300"/>
      <x:c r="I105" s="3"/>
      <x:c r="J105" s="3"/>
      <x:c r="K105" s="4"/>
      <x:c r="L105" s="4"/>
      <x:c r="M105" s="5"/>
      <x:c r="N105" s="6"/>
      <x:c r="V105" s="1"/>
    </x:row>
    <x:row r="106" spans="1:22" s="2" customFormat="1" ht="20.100000000000001" customHeight="1">
      <x:c r="A106" s="7"/>
      <x:c r="B106" s="8"/>
      <x:c r="C106" s="8"/>
      <x:c r="D106" s="9">
        <x:f>SUM(D90:D105)</x:f>
        <x:v>30188668</x:v>
      </x:c>
      <x:c r="E106" s="9">
        <x:f>SUM(E90:E105)</x:f>
        <x:v>3018867</x:v>
      </x:c>
      <x:c r="F106" s="10">
        <x:f>SUM(F90:F105)</x:f>
        <x:v>33207535</x:v>
      </x:c>
      <x:c r="G106" s="11"/>
      <x:c r="H106" s="7" t="s">
        <x:v>155</x:v>
      </x:c>
      <x:c r="I106" s="8"/>
      <x:c r="J106" s="8"/>
      <x:c r="K106" s="9">
        <x:f>SUM(K90:K105)</x:f>
        <x:v>12917650</x:v>
      </x:c>
      <x:c r="L106" s="9">
        <x:f>SUM(L90:L105)</x:f>
        <x:v>1291765</x:v>
      </x:c>
      <x:c r="M106" s="10">
        <x:f>SUM(M90:M105)</x:f>
        <x:v>14209415</x:v>
      </x:c>
      <x:c r="N106" s="11"/>
      <x:c r="V106" s="1"/>
    </x:row>
    <x:row r="107" spans="1:22" s="2" customFormat="1" ht="20.100000000000001" customHeight="1">
      <x:c r="A107" s="301" t="s">
        <x:v>153</x:v>
      </x:c>
      <x:c r="B107" s="3" t="s">
        <x:v>1677</x:v>
      </x:c>
      <x:c r="C107" s="3" t="s">
        <x:v>1096</x:v>
      </x:c>
      <x:c r="D107" s="4">
        <x:v>13110000</x:v>
      </x:c>
      <x:c r="E107" s="4"/>
      <x:c r="F107" s="5">
        <x:f>+D107+E107</x:f>
        <x:v>13110000</x:v>
      </x:c>
      <x:c r="G107" s="6"/>
      <x:c r="H107" s="301" t="s">
        <x:v>153</x:v>
      </x:c>
      <x:c r="I107" s="3" t="s">
        <x:v>1677</x:v>
      </x:c>
      <x:c r="J107" s="3" t="s">
        <x:v>1383</x:v>
      </x:c>
      <x:c r="K107" s="4">
        <x:f>15395000-K108</x:f>
        <x:v>10176000</x:v>
      </x:c>
      <x:c r="L107" s="44"/>
      <x:c r="M107" s="45">
        <x:f>+K107+L107</x:f>
        <x:v>10176000</x:v>
      </x:c>
      <x:c r="N107" s="37"/>
      <x:c r="V107" s="1"/>
    </x:row>
    <x:row r="108" spans="1:22" s="2" customFormat="1" ht="20.100000000000001" customHeight="1">
      <x:c r="A108" s="299"/>
      <x:c r="B108" s="3" t="s">
        <x:v>1241</x:v>
      </x:c>
      <x:c r="C108" s="3" t="s">
        <x:v>1463</x:v>
      </x:c>
      <x:c r="D108" s="4">
        <x:v>5400000</x:v>
      </x:c>
      <x:c r="E108" s="4">
        <x:f>+D108*0.1</x:f>
        <x:v>540000</x:v>
      </x:c>
      <x:c r="F108" s="5">
        <x:f>+D108+E108</x:f>
        <x:v>5940000</x:v>
      </x:c>
      <x:c r="G108" s="6"/>
      <x:c r="H108" s="299"/>
      <x:c r="I108" s="3" t="s">
        <x:v>1677</x:v>
      </x:c>
      <x:c r="J108" s="3" t="s">
        <x:v>252</x:v>
      </x:c>
      <x:c r="K108" s="4">
        <x:v>5219000</x:v>
      </x:c>
      <x:c r="L108" s="44"/>
      <x:c r="M108" s="45">
        <x:f>+K108+L108</x:f>
        <x:v>5219000</x:v>
      </x:c>
      <x:c r="N108" s="37" t="s">
        <x:v>1325</x:v>
      </x:c>
      <x:c r="V108" s="1"/>
    </x:row>
    <x:row r="109" spans="1:22" s="2" customFormat="1" ht="20.100000000000001" customHeight="1">
      <x:c r="A109" s="299"/>
      <x:c r="B109" s="3"/>
      <x:c r="C109" s="3"/>
      <x:c r="D109" s="4"/>
      <x:c r="E109" s="4">
        <x:f>+D109*0.1</x:f>
        <x:v>0</x:v>
      </x:c>
      <x:c r="F109" s="5">
        <x:f>+D109+E109</x:f>
        <x:v>0</x:v>
      </x:c>
      <x:c r="G109" s="6"/>
      <x:c r="H109" s="299"/>
      <x:c r="I109" s="3"/>
      <x:c r="J109" s="3"/>
      <x:c r="K109" s="4"/>
      <x:c r="L109" s="4">
        <x:f>+K109*0.1</x:f>
        <x:v>0</x:v>
      </x:c>
      <x:c r="M109" s="5">
        <x:f>+K109+L109</x:f>
        <x:v>0</x:v>
      </x:c>
      <x:c r="N109" s="6"/>
      <x:c r="V109" s="1"/>
    </x:row>
    <x:row r="110" spans="1:22" s="2" customFormat="1" ht="20.100000000000001" customHeight="1">
      <x:c r="A110" s="300"/>
      <x:c r="B110" s="3"/>
      <x:c r="C110" s="3"/>
      <x:c r="D110" s="4"/>
      <x:c r="E110" s="4">
        <x:f>+D110*0.1</x:f>
        <x:v>0</x:v>
      </x:c>
      <x:c r="F110" s="5">
        <x:f>+D110+E110</x:f>
        <x:v>0</x:v>
      </x:c>
      <x:c r="G110" s="6"/>
      <x:c r="H110" s="300"/>
      <x:c r="I110" s="3"/>
      <x:c r="J110" s="3"/>
      <x:c r="K110" s="4"/>
      <x:c r="L110" s="4">
        <x:f>+K110*0.1</x:f>
        <x:v>0</x:v>
      </x:c>
      <x:c r="M110" s="5">
        <x:f>+K110+L110</x:f>
        <x:v>0</x:v>
      </x:c>
      <x:c r="N110" s="6"/>
      <x:c r="V110" s="1"/>
    </x:row>
    <x:row r="111" spans="1:22" s="2" customFormat="1" ht="20.100000000000001" customHeight="1">
      <x:c r="A111" s="7"/>
      <x:c r="B111" s="8"/>
      <x:c r="C111" s="8"/>
      <x:c r="D111" s="9">
        <x:f>SUM(D107:D110)</x:f>
        <x:v>18510000</x:v>
      </x:c>
      <x:c r="E111" s="9">
        <x:f>SUM(E107:E110)</x:f>
        <x:v>540000</x:v>
      </x:c>
      <x:c r="F111" s="10">
        <x:f>SUM(F107:F110)</x:f>
        <x:v>19050000</x:v>
      </x:c>
      <x:c r="G111" s="11"/>
      <x:c r="H111" s="7" t="s">
        <x:v>155</x:v>
      </x:c>
      <x:c r="I111" s="8"/>
      <x:c r="J111" s="8"/>
      <x:c r="K111" s="9">
        <x:f>SUM(K107:K110)</x:f>
        <x:v>15395000</x:v>
      </x:c>
      <x:c r="L111" s="9">
        <x:f>SUM(L107:L110)</x:f>
        <x:v>0</x:v>
      </x:c>
      <x:c r="M111" s="10">
        <x:f>SUM(M107:M110)</x:f>
        <x:v>15395000</x:v>
      </x:c>
      <x:c r="N111" s="11"/>
      <x:c r="V111" s="1"/>
    </x:row>
    <x:row r="112" spans="1:22" s="2" customFormat="1" ht="20.100000000000001" customHeight="1">
      <x:c r="A112" s="301" t="s">
        <x:v>187</x:v>
      </x:c>
      <x:c r="B112" s="3" t="s">
        <x:v>1124</x:v>
      </x:c>
      <x:c r="C112" s="3" t="s">
        <x:v>1006</x:v>
      </x:c>
      <x:c r="D112" s="4">
        <x:v>1718000</x:v>
      </x:c>
      <x:c r="E112" s="4">
        <x:f>+D112*0.1</x:f>
        <x:v>171800</x:v>
      </x:c>
      <x:c r="F112" s="5">
        <x:f>+D112+E112</x:f>
        <x:v>1889800</x:v>
      </x:c>
      <x:c r="G112" s="6"/>
      <x:c r="H112" s="301" t="s">
        <x:v>187</x:v>
      </x:c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  <x:c r="V112" s="1"/>
    </x:row>
    <x:row r="113" spans="1:22" s="2" customFormat="1" ht="20.100000000000001" customHeight="1">
      <x:c r="A113" s="299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299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  <x:c r="V113" s="1"/>
    </x:row>
    <x:row r="114" spans="1:22" s="2" customFormat="1" ht="20.100000000000001" customHeight="1">
      <x:c r="A114" s="299"/>
      <x:c r="B114" s="3"/>
      <x:c r="C114" s="3"/>
      <x:c r="D114" s="4"/>
      <x:c r="E114" s="4">
        <x:f>+D114*0.1</x:f>
        <x:v>0</x:v>
      </x:c>
      <x:c r="F114" s="5">
        <x:f>+D114+E114</x:f>
        <x:v>0</x:v>
      </x:c>
      <x:c r="G114" s="6"/>
      <x:c r="H114" s="299"/>
      <x:c r="I114" s="3"/>
      <x:c r="J114" s="3"/>
      <x:c r="K114" s="4"/>
      <x:c r="L114" s="4">
        <x:f>+K114*0.1</x:f>
        <x:v>0</x:v>
      </x:c>
      <x:c r="M114" s="5">
        <x:f>+K114+L114</x:f>
        <x:v>0</x:v>
      </x:c>
      <x:c r="N114" s="6"/>
      <x:c r="V114" s="1"/>
    </x:row>
    <x:row r="115" spans="1:22" s="2" customFormat="1" ht="20.100000000000001" customHeight="1">
      <x:c r="A115" s="300"/>
      <x:c r="B115" s="3"/>
      <x:c r="C115" s="3"/>
      <x:c r="D115" s="4"/>
      <x:c r="E115" s="4">
        <x:f>+D115*0.1</x:f>
        <x:v>0</x:v>
      </x:c>
      <x:c r="F115" s="5">
        <x:f>+D115+E115</x:f>
        <x:v>0</x:v>
      </x:c>
      <x:c r="G115" s="6"/>
      <x:c r="H115" s="300"/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  <x:c r="V115" s="1"/>
    </x:row>
    <x:row r="116" spans="1:22" s="2" customFormat="1" ht="20.100000000000001" customHeight="1">
      <x:c r="A116" s="7"/>
      <x:c r="B116" s="8"/>
      <x:c r="C116" s="8"/>
      <x:c r="D116" s="9">
        <x:f>SUM(D112:D115)</x:f>
        <x:v>1718000</x:v>
      </x:c>
      <x:c r="E116" s="9">
        <x:f>SUM(E112:E115)</x:f>
        <x:v>171800</x:v>
      </x:c>
      <x:c r="F116" s="10">
        <x:f>SUM(F112:F115)</x:f>
        <x:v>1889800</x:v>
      </x:c>
      <x:c r="G116" s="11"/>
      <x:c r="H116" s="7" t="s">
        <x:v>155</x:v>
      </x:c>
      <x:c r="I116" s="8"/>
      <x:c r="J116" s="8"/>
      <x:c r="K116" s="9">
        <x:f>SUM(K112:K115)</x:f>
        <x:v>0</x:v>
      </x:c>
      <x:c r="L116" s="9">
        <x:f>SUM(L112:L115)</x:f>
        <x:v>0</x:v>
      </x:c>
      <x:c r="M116" s="10">
        <x:f>SUM(M112:M115)</x:f>
        <x:v>0</x:v>
      </x:c>
      <x:c r="N116" s="11"/>
      <x:c r="V116" s="1"/>
    </x:row>
    <x:row r="117" spans="1:22" s="2" customFormat="1" ht="20.100000000000001" customHeight="1">
      <x:c r="A117" s="301" t="s">
        <x:v>149</x:v>
      </x:c>
      <x:c r="B117" s="3" t="s">
        <x:v>177</x:v>
      </x:c>
      <x:c r="C117" s="3" t="s">
        <x:v>149</x:v>
      </x:c>
      <x:c r="D117" s="4">
        <x:v>732340</x:v>
      </x:c>
      <x:c r="E117" s="4"/>
      <x:c r="F117" s="5">
        <x:f t="shared" ref="F117:F123" si="20">+D117+E117</x:f>
        <x:v>732340</x:v>
      </x:c>
      <x:c r="G117" s="6"/>
      <x:c r="H117" s="301" t="s">
        <x:v>149</x:v>
      </x:c>
      <x:c r="I117" s="3" t="s">
        <x:v>177</x:v>
      </x:c>
      <x:c r="J117" s="3" t="s">
        <x:v>149</x:v>
      </x:c>
      <x:c r="K117" s="4">
        <x:v>924240</x:v>
      </x:c>
      <x:c r="L117" s="4"/>
      <x:c r="M117" s="5">
        <x:f t="shared" ref="M117:M126" si="21">+K117+L117</x:f>
        <x:v>924240</x:v>
      </x:c>
      <x:c r="N117" s="6"/>
      <x:c r="V117" s="1"/>
    </x:row>
    <x:row r="118" spans="1:22" s="2" customFormat="1" ht="20.100000000000001" customHeight="1">
      <x:c r="A118" s="299"/>
      <x:c r="B118" s="3" t="s">
        <x:v>601</x:v>
      </x:c>
      <x:c r="C118" s="3" t="s">
        <x:v>962</x:v>
      </x:c>
      <x:c r="D118" s="4">
        <x:v>542000</x:v>
      </x:c>
      <x:c r="E118" s="4">
        <x:f>+D118*0.1</x:f>
        <x:v>54200</x:v>
      </x:c>
      <x:c r="F118" s="5">
        <x:f t="shared" si="20"/>
        <x:v>596200</x:v>
      </x:c>
      <x:c r="G118" s="6"/>
      <x:c r="H118" s="299"/>
      <x:c r="I118" s="3" t="s">
        <x:v>1359</x:v>
      </x:c>
      <x:c r="J118" s="3" t="s">
        <x:v>1356</x:v>
      </x:c>
      <x:c r="K118" s="4">
        <x:v>468000</x:v>
      </x:c>
      <x:c r="L118" s="4">
        <x:f>+K118*0.1</x:f>
        <x:v>46800</x:v>
      </x:c>
      <x:c r="M118" s="5">
        <x:f t="shared" si="21"/>
        <x:v>514800</x:v>
      </x:c>
      <x:c r="N118" s="6"/>
      <x:c r="V118" s="1"/>
    </x:row>
    <x:row r="119" spans="1:22" s="2" customFormat="1" ht="20.100000000000001" customHeight="1">
      <x:c r="A119" s="299"/>
      <x:c r="B119" s="3" t="s">
        <x:v>926</x:v>
      </x:c>
      <x:c r="C119" s="3" t="s">
        <x:v>409</x:v>
      </x:c>
      <x:c r="D119" s="4">
        <x:v>367870</x:v>
      </x:c>
      <x:c r="E119" s="4"/>
      <x:c r="F119" s="5">
        <x:f t="shared" si="20"/>
        <x:v>367870</x:v>
      </x:c>
      <x:c r="G119" s="6"/>
      <x:c r="H119" s="299"/>
      <x:c r="I119" s="3"/>
      <x:c r="J119" s="3"/>
      <x:c r="K119" s="4"/>
      <x:c r="L119" s="4">
        <x:f>+K119*0.1</x:f>
        <x:v>0</x:v>
      </x:c>
      <x:c r="M119" s="5">
        <x:f t="shared" si="21"/>
        <x:v>0</x:v>
      </x:c>
      <x:c r="N119" s="6"/>
      <x:c r="V119" s="1"/>
    </x:row>
    <x:row r="120" spans="1:22" s="2" customFormat="1" ht="20.100000000000001" customHeight="1">
      <x:c r="A120" s="299"/>
      <x:c r="B120" s="3" t="s">
        <x:v>947</x:v>
      </x:c>
      <x:c r="C120" s="3" t="s">
        <x:v>914</x:v>
      </x:c>
      <x:c r="D120" s="4">
        <x:v>50000</x:v>
      </x:c>
      <x:c r="E120" s="4">
        <x:f>+D120*0.1</x:f>
        <x:v>5000</x:v>
      </x:c>
      <x:c r="F120" s="5">
        <x:f t="shared" si="20"/>
        <x:v>55000</x:v>
      </x:c>
      <x:c r="G120" s="6"/>
      <x:c r="H120" s="299"/>
      <x:c r="I120" s="3"/>
      <x:c r="J120" s="3"/>
      <x:c r="K120" s="4"/>
      <x:c r="L120" s="4"/>
      <x:c r="M120" s="5">
        <x:f t="shared" si="21"/>
        <x:v>0</x:v>
      </x:c>
      <x:c r="N120" s="6"/>
      <x:c r="V120" s="1"/>
    </x:row>
    <x:row r="121" spans="1:22" s="2" customFormat="1" ht="20.100000000000001" customHeight="1">
      <x:c r="A121" s="299"/>
      <x:c r="B121" s="3" t="s">
        <x:v>1327</x:v>
      </x:c>
      <x:c r="C121" s="3" t="s">
        <x:v>167</x:v>
      </x:c>
      <x:c r="D121" s="4">
        <x:v>30000</x:v>
      </x:c>
      <x:c r="E121" s="4">
        <x:f>+D121*0.1</x:f>
        <x:v>3000</x:v>
      </x:c>
      <x:c r="F121" s="5">
        <x:f t="shared" si="20"/>
        <x:v>33000</x:v>
      </x:c>
      <x:c r="G121" s="6"/>
      <x:c r="H121" s="299"/>
      <x:c r="I121" s="3"/>
      <x:c r="J121" s="3"/>
      <x:c r="K121" s="4"/>
      <x:c r="L121" s="4"/>
      <x:c r="M121" s="5">
        <x:f t="shared" si="21"/>
        <x:v>0</x:v>
      </x:c>
      <x:c r="N121" s="6"/>
      <x:c r="V121" s="1"/>
    </x:row>
    <x:row r="122" spans="1:22" s="2" customFormat="1" ht="20.100000000000001" customHeight="1">
      <x:c r="A122" s="299"/>
      <x:c r="B122" s="3" t="s">
        <x:v>247</x:v>
      </x:c>
      <x:c r="C122" s="3" t="s">
        <x:v>231</x:v>
      </x:c>
      <x:c r="D122" s="4">
        <x:v>20000</x:v>
      </x:c>
      <x:c r="E122" s="4">
        <x:f>+D122*0.1</x:f>
        <x:v>2000</x:v>
      </x:c>
      <x:c r="F122" s="5">
        <x:f t="shared" si="20"/>
        <x:v>22000</x:v>
      </x:c>
      <x:c r="G122" s="6"/>
      <x:c r="H122" s="299"/>
      <x:c r="I122" s="3"/>
      <x:c r="J122" s="3"/>
      <x:c r="K122" s="4"/>
      <x:c r="L122" s="4"/>
      <x:c r="M122" s="5">
        <x:f t="shared" si="21"/>
        <x:v>0</x:v>
      </x:c>
      <x:c r="N122" s="6"/>
      <x:c r="V122" s="1"/>
    </x:row>
    <x:row r="123" spans="1:22" s="2" customFormat="1" ht="20.100000000000001" customHeight="1">
      <x:c r="A123" s="299"/>
      <x:c r="B123" s="3" t="s">
        <x:v>1444</x:v>
      </x:c>
      <x:c r="C123" s="3" t="s">
        <x:v>817</x:v>
      </x:c>
      <x:c r="D123" s="4">
        <x:v>450000</x:v>
      </x:c>
      <x:c r="E123" s="4">
        <x:f>+D123*0.1</x:f>
        <x:v>45000</x:v>
      </x:c>
      <x:c r="F123" s="5">
        <x:f t="shared" si="20"/>
        <x:v>495000</x:v>
      </x:c>
      <x:c r="G123" s="6"/>
      <x:c r="H123" s="299"/>
      <x:c r="I123" s="3"/>
      <x:c r="J123" s="3"/>
      <x:c r="K123" s="4"/>
      <x:c r="L123" s="4"/>
      <x:c r="M123" s="5">
        <x:f t="shared" si="21"/>
        <x:v>0</x:v>
      </x:c>
      <x:c r="N123" s="6"/>
      <x:c r="V123" s="1"/>
    </x:row>
    <x:row r="124" spans="1:22" s="2" customFormat="1" ht="20.100000000000001" customHeight="1">
      <x:c r="A124" s="299"/>
      <x:c r="B124" s="3"/>
      <x:c r="C124" s="3"/>
      <x:c r="D124" s="4"/>
      <x:c r="E124" s="4"/>
      <x:c r="F124" s="5"/>
      <x:c r="G124" s="6"/>
      <x:c r="H124" s="299"/>
      <x:c r="I124" s="3"/>
      <x:c r="J124" s="3"/>
      <x:c r="K124" s="4"/>
      <x:c r="L124" s="4"/>
      <x:c r="M124" s="5">
        <x:f t="shared" si="21"/>
        <x:v>0</x:v>
      </x:c>
      <x:c r="N124" s="6"/>
      <x:c r="V124" s="1"/>
    </x:row>
    <x:row r="125" spans="1:22" s="2" customFormat="1" ht="20.100000000000001" customHeight="1">
      <x:c r="A125" s="299"/>
      <x:c r="B125" s="3"/>
      <x:c r="C125" s="3"/>
      <x:c r="D125" s="4"/>
      <x:c r="E125" s="4"/>
      <x:c r="F125" s="5"/>
      <x:c r="G125" s="6"/>
      <x:c r="H125" s="299"/>
      <x:c r="I125" s="3"/>
      <x:c r="J125" s="3"/>
      <x:c r="K125" s="4"/>
      <x:c r="L125" s="4"/>
      <x:c r="M125" s="5">
        <x:f t="shared" si="21"/>
        <x:v>0</x:v>
      </x:c>
      <x:c r="N125" s="6"/>
      <x:c r="V125" s="1"/>
    </x:row>
    <x:row r="126" spans="1:22" s="2" customFormat="1" ht="20.100000000000001" customHeight="1">
      <x:c r="A126" s="300"/>
      <x:c r="B126" s="3"/>
      <x:c r="C126" s="3"/>
      <x:c r="D126" s="4"/>
      <x:c r="E126" s="4"/>
      <x:c r="F126" s="5"/>
      <x:c r="G126" s="6"/>
      <x:c r="H126" s="300"/>
      <x:c r="I126" s="3"/>
      <x:c r="J126" s="3"/>
      <x:c r="K126" s="4"/>
      <x:c r="L126" s="4"/>
      <x:c r="M126" s="5">
        <x:f t="shared" si="21"/>
        <x:v>0</x:v>
      </x:c>
      <x:c r="N126" s="6"/>
      <x:c r="V126" s="1"/>
    </x:row>
    <x:row r="127" spans="1:22" s="2" customFormat="1" ht="20.100000000000001" customHeight="1">
      <x:c r="A127" s="7"/>
      <x:c r="B127" s="8"/>
      <x:c r="C127" s="8"/>
      <x:c r="D127" s="9">
        <x:f>SUM(D117:D126)</x:f>
        <x:v>2192210</x:v>
      </x:c>
      <x:c r="E127" s="9">
        <x:f>SUM(E117:E126)</x:f>
        <x:v>109200</x:v>
      </x:c>
      <x:c r="F127" s="10">
        <x:f>SUM(F117:F126)</x:f>
        <x:v>2301410</x:v>
      </x:c>
      <x:c r="G127" s="11"/>
      <x:c r="H127" s="7" t="s">
        <x:v>155</x:v>
      </x:c>
      <x:c r="I127" s="8"/>
      <x:c r="J127" s="8"/>
      <x:c r="K127" s="9">
        <x:f>SUM(K117:K126)</x:f>
        <x:v>1392240</x:v>
      </x:c>
      <x:c r="L127" s="9">
        <x:f>SUM(L117:L126)</x:f>
        <x:v>46800</x:v>
      </x:c>
      <x:c r="M127" s="10">
        <x:f>SUM(M117:M126)</x:f>
        <x:v>1439040</x:v>
      </x:c>
      <x:c r="N127" s="11"/>
      <x:c r="V127" s="1"/>
    </x:row>
    <x:row r="128" spans="1:22" s="2" customFormat="1" ht="20.100000000000001" customHeight="1">
      <x:c r="A128" s="12"/>
      <x:c r="B128" s="13"/>
      <x:c r="C128" s="13"/>
      <x:c r="D128" s="14">
        <x:f>+D106+D111+D116+D127</x:f>
        <x:v>52608878</x:v>
      </x:c>
      <x:c r="E128" s="14">
        <x:f>+E106+E111+E116+E127</x:f>
        <x:v>3839867</x:v>
      </x:c>
      <x:c r="F128" s="15">
        <x:f>+F106+F111+F116+F127</x:f>
        <x:v>56448745</x:v>
      </x:c>
      <x:c r="G128" s="16"/>
      <x:c r="H128" s="12" t="s">
        <x:v>1690</x:v>
      </x:c>
      <x:c r="I128" s="13"/>
      <x:c r="J128" s="13"/>
      <x:c r="K128" s="14">
        <x:f>+K106+K111+K116+K127</x:f>
        <x:v>29704890</x:v>
      </x:c>
      <x:c r="L128" s="14">
        <x:f>+L106+L111+L116+L127</x:f>
        <x:v>1338565</x:v>
      </x:c>
      <x:c r="M128" s="15">
        <x:f>+M106+M111+M116+M127</x:f>
        <x:v>31043455</x:v>
      </x:c>
      <x:c r="N128" s="16"/>
      <x:c r="V128" s="1"/>
    </x:row>
    <x:row r="129" spans="1:22" s="2" customFormat="1" ht="20.100000000000001" customHeight="1">
      <x:c r="A129" s="23"/>
      <x:c r="B129" s="24"/>
      <x:c r="C129" s="24"/>
      <x:c r="D129" s="25">
        <x:f>+D89-D128</x:f>
        <x:v>-5608878</x:v>
      </x:c>
      <x:c r="E129" s="25">
        <x:f>+E89-E128</x:f>
        <x:v>860133</x:v>
      </x:c>
      <x:c r="F129" s="26">
        <x:f>+F89-F128</x:f>
        <x:v>-4748745</x:v>
      </x:c>
      <x:c r="G129" s="27"/>
      <x:c r="H129" s="23" t="s">
        <x:v>35</x:v>
      </x:c>
      <x:c r="I129" s="24"/>
      <x:c r="J129" s="24"/>
      <x:c r="K129" s="25">
        <x:f>+K89-K128</x:f>
        <x:v>-704890</x:v>
      </x:c>
      <x:c r="L129" s="25">
        <x:f>+L89-L128</x:f>
        <x:v>1561435</x:v>
      </x:c>
      <x:c r="M129" s="26">
        <x:f>+M89-M128</x:f>
        <x:v>856545</x:v>
      </x:c>
      <x:c r="N129" s="27"/>
      <x:c r="V129" s="1"/>
    </x:row>
    <x:row r="130" spans="1:22" s="2" customFormat="1" ht="20.100000000000001" customHeight="1">
      <x:c r="A130" s="302" t="s">
        <x:v>423</x:v>
      </x:c>
      <x:c r="B130" s="303"/>
      <x:c r="C130" s="303"/>
      <x:c r="D130" s="303"/>
      <x:c r="E130" s="303"/>
      <x:c r="F130" s="304"/>
      <x:c r="G130" s="305"/>
      <x:c r="H130" s="302" t="s">
        <x:v>494</x:v>
      </x:c>
      <x:c r="I130" s="303"/>
      <x:c r="J130" s="303"/>
      <x:c r="K130" s="303"/>
      <x:c r="L130" s="303"/>
      <x:c r="M130" s="304"/>
      <x:c r="N130" s="305"/>
      <x:c r="V130" s="1"/>
    </x:row>
    <x:row r="131" spans="1:22" s="2" customFormat="1" ht="20.100000000000001" customHeight="1">
      <x:c r="A131" s="29" t="s">
        <x:v>147</x:v>
      </x:c>
      <x:c r="B131" s="208" t="s">
        <x:v>144</x:v>
      </x:c>
      <x:c r="C131" s="208" t="s">
        <x:v>150</x:v>
      </x:c>
      <x:c r="D131" s="31" t="s">
        <x:v>145</x:v>
      </x:c>
      <x:c r="E131" s="31" t="s">
        <x:v>152</x:v>
      </x:c>
      <x:c r="F131" s="32" t="s">
        <x:v>146</x:v>
      </x:c>
      <x:c r="G131" s="33" t="s">
        <x:v>154</x:v>
      </x:c>
      <x:c r="H131" s="29" t="s">
        <x:v>147</x:v>
      </x:c>
      <x:c r="I131" s="208" t="s">
        <x:v>144</x:v>
      </x:c>
      <x:c r="J131" s="208" t="s">
        <x:v>150</x:v>
      </x:c>
      <x:c r="K131" s="31" t="s">
        <x:v>145</x:v>
      </x:c>
      <x:c r="L131" s="31" t="s">
        <x:v>152</x:v>
      </x:c>
      <x:c r="M131" s="31" t="s">
        <x:v>146</x:v>
      </x:c>
      <x:c r="N131" s="34" t="s">
        <x:v>154</x:v>
      </x:c>
      <x:c r="V131" s="1"/>
    </x:row>
    <x:row r="132" spans="1:22" s="2" customFormat="1" ht="20.100000000000001" customHeight="1">
      <x:c r="A132" s="207" t="s">
        <x:v>151</x:v>
      </x:c>
      <x:c r="B132" s="38" t="s">
        <x:v>1679</x:v>
      </x:c>
      <x:c r="C132" s="38" t="s">
        <x:v>156</x:v>
      </x:c>
      <x:c r="D132" s="39">
        <x:v>46430000</x:v>
      </x:c>
      <x:c r="E132" s="39">
        <x:f>+D132*0.1</x:f>
        <x:v>4643000</x:v>
      </x:c>
      <x:c r="F132" s="40">
        <x:f t="shared" ref="F132:F147" si="22">+D132+E132</x:f>
        <x:v>51073000</x:v>
      </x:c>
      <x:c r="G132" s="18"/>
      <x:c r="H132" s="41" t="s">
        <x:v>151</x:v>
      </x:c>
      <x:c r="I132" s="38" t="s">
        <x:v>1679</x:v>
      </x:c>
      <x:c r="J132" s="38" t="s">
        <x:v>1030</x:v>
      </x:c>
      <x:c r="K132" s="39"/>
      <x:c r="L132" s="39"/>
      <x:c r="M132" s="40">
        <x:f>+K132+L132</x:f>
        <x:v>0</x:v>
      </x:c>
      <x:c r="N132" s="42"/>
      <x:c r="V132" s="1"/>
    </x:row>
    <x:row r="133" spans="1:22" s="2" customFormat="1" ht="20.100000000000001" customHeight="1">
      <x:c r="A133" s="298" t="s">
        <x:v>148</x:v>
      </x:c>
      <x:c r="B133" s="54" t="s">
        <x:v>1329</x:v>
      </x:c>
      <x:c r="C133" s="54" t="s">
        <x:v>1112</x:v>
      </x:c>
      <x:c r="D133" s="93">
        <x:v>14223400</x:v>
      </x:c>
      <x:c r="E133" s="93">
        <x:f t="shared" ref="E133:E145" si="23">+INT(D133*0.1)</x:f>
        <x:v>1422340</x:v>
      </x:c>
      <x:c r="F133" s="94">
        <x:f t="shared" si="22"/>
        <x:v>15645740</x:v>
      </x:c>
      <x:c r="G133" s="95" t="s">
        <x:v>273</x:v>
      </x:c>
      <x:c r="H133" s="298" t="s">
        <x:v>148</x:v>
      </x:c>
      <x:c r="I133" s="19" t="s">
        <x:v>867</x:v>
      </x:c>
      <x:c r="J133" s="19" t="s">
        <x:v>393</x:v>
      </x:c>
      <x:c r="K133" s="20">
        <x:v>744000</x:v>
      </x:c>
      <x:c r="L133" s="20">
        <x:f>+K133*0.1</x:f>
        <x:v>74400</x:v>
      </x:c>
      <x:c r="M133" s="21">
        <x:f t="shared" ref="M133:M148" si="24">+K133+L133</x:f>
        <x:v>818400</x:v>
      </x:c>
      <x:c r="N133" s="22"/>
      <x:c r="V133" s="1"/>
    </x:row>
    <x:row r="134" spans="1:22" s="2" customFormat="1" ht="20.100000000000001" customHeight="1">
      <x:c r="A134" s="299"/>
      <x:c r="B134" s="162" t="s">
        <x:v>1358</x:v>
      </x:c>
      <x:c r="C134" s="162"/>
      <x:c r="D134" s="163"/>
      <x:c r="E134" s="4">
        <x:f t="shared" si="23"/>
        <x:v>0</x:v>
      </x:c>
      <x:c r="F134" s="193">
        <x:f t="shared" si="22"/>
        <x:v>0</x:v>
      </x:c>
      <x:c r="G134" s="180" t="s">
        <x:v>258</x:v>
      </x:c>
      <x:c r="H134" s="299"/>
      <x:c r="I134" s="3"/>
      <x:c r="J134" s="3"/>
      <x:c r="K134" s="4"/>
      <x:c r="L134" s="4">
        <x:f>K134*0.1</x:f>
        <x:v>0</x:v>
      </x:c>
      <x:c r="M134" s="5">
        <x:f t="shared" si="24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1362</x:v>
      </x:c>
      <x:c r="C135" s="3"/>
      <x:c r="D135" s="4"/>
      <x:c r="E135" s="4">
        <x:f t="shared" si="23"/>
        <x:v>0</x:v>
      </x:c>
      <x:c r="F135" s="194">
        <x:f t="shared" si="22"/>
        <x:v>0</x:v>
      </x:c>
      <x:c r="G135" s="180" t="s">
        <x:v>258</x:v>
      </x:c>
      <x:c r="H135" s="299"/>
      <x:c r="I135" s="3"/>
      <x:c r="J135" s="3"/>
      <x:c r="K135" s="4"/>
      <x:c r="L135" s="4">
        <x:f>+K135*0.1</x:f>
        <x:v>0</x:v>
      </x:c>
      <x:c r="M135" s="5">
        <x:f t="shared" si="24"/>
        <x:v>0</x:v>
      </x:c>
      <x:c r="N135" s="6"/>
      <x:c r="V135" s="1"/>
    </x:row>
    <x:row r="136" spans="1:22" s="2" customFormat="1" ht="20.100000000000001" customHeight="1">
      <x:c r="A136" s="299"/>
      <x:c r="B136" s="3" t="s">
        <x:v>1363</x:v>
      </x:c>
      <x:c r="C136" s="3"/>
      <x:c r="D136" s="4"/>
      <x:c r="E136" s="4">
        <x:f t="shared" si="23"/>
        <x:v>0</x:v>
      </x:c>
      <x:c r="F136" s="194">
        <x:f t="shared" si="22"/>
        <x:v>0</x:v>
      </x:c>
      <x:c r="G136" s="180" t="s">
        <x:v>258</x:v>
      </x:c>
      <x:c r="H136" s="299"/>
      <x:c r="I136" s="3"/>
      <x:c r="J136" s="3"/>
      <x:c r="K136" s="4"/>
      <x:c r="L136" s="4">
        <x:f>+K136*0.1</x:f>
        <x:v>0</x:v>
      </x:c>
      <x:c r="M136" s="5">
        <x:f t="shared" si="24"/>
        <x:v>0</x:v>
      </x:c>
      <x:c r="N136" s="6"/>
      <x:c r="V136" s="1"/>
    </x:row>
    <x:row r="137" spans="1:22" s="2" customFormat="1" ht="20.100000000000001" customHeight="1">
      <x:c r="A137" s="299"/>
      <x:c r="B137" s="3" t="s">
        <x:v>1372</x:v>
      </x:c>
      <x:c r="C137" s="3"/>
      <x:c r="D137" s="4"/>
      <x:c r="E137" s="4">
        <x:f t="shared" si="23"/>
        <x:v>0</x:v>
      </x:c>
      <x:c r="F137" s="194">
        <x:f t="shared" si="22"/>
        <x:v>0</x:v>
      </x:c>
      <x:c r="G137" s="180" t="s">
        <x:v>258</x:v>
      </x:c>
      <x:c r="H137" s="299"/>
      <x:c r="I137" s="3"/>
      <x:c r="J137" s="3"/>
      <x:c r="K137" s="4"/>
      <x:c r="L137" s="4">
        <x:f>+K137*0.1</x:f>
        <x:v>0</x:v>
      </x:c>
      <x:c r="M137" s="5">
        <x:f t="shared" si="24"/>
        <x:v>0</x:v>
      </x:c>
      <x:c r="N137" s="6"/>
      <x:c r="V137" s="1"/>
    </x:row>
    <x:row r="138" spans="1:22" s="2" customFormat="1" ht="20.100000000000001" customHeight="1">
      <x:c r="A138" s="299"/>
      <x:c r="B138" s="3" t="s">
        <x:v>1380</x:v>
      </x:c>
      <x:c r="C138" s="3" t="s">
        <x:v>1377</x:v>
      </x:c>
      <x:c r="D138" s="4">
        <x:v>2700000</x:v>
      </x:c>
      <x:c r="E138" s="4">
        <x:f t="shared" si="23"/>
        <x:v>270000</x:v>
      </x:c>
      <x:c r="F138" s="194">
        <x:f t="shared" si="22"/>
        <x:v>2970000</x:v>
      </x:c>
      <x:c r="G138" s="180" t="s">
        <x:v>258</x:v>
      </x:c>
      <x:c r="H138" s="299"/>
      <x:c r="I138" s="3"/>
      <x:c r="J138" s="3"/>
      <x:c r="K138" s="4"/>
      <x:c r="L138" s="4">
        <x:f t="shared" ref="L138:L148" si="25">+K138*0.1</x:f>
        <x:v>0</x:v>
      </x:c>
      <x:c r="M138" s="5">
        <x:f t="shared" si="24"/>
        <x:v>0</x:v>
      </x:c>
      <x:c r="N138" s="6"/>
      <x:c r="V138" s="1"/>
    </x:row>
    <x:row r="139" spans="1:22" s="2" customFormat="1" ht="20.100000000000001" customHeight="1">
      <x:c r="A139" s="299"/>
      <x:c r="B139" s="3" t="s">
        <x:v>938</x:v>
      </x:c>
      <x:c r="C139" s="3" t="s">
        <x:v>1432</x:v>
      </x:c>
      <x:c r="D139" s="4">
        <x:v>1832000</x:v>
      </x:c>
      <x:c r="E139" s="4">
        <x:f t="shared" si="23"/>
        <x:v>183200</x:v>
      </x:c>
      <x:c r="F139" s="194">
        <x:f t="shared" si="22"/>
        <x:v>2015200</x:v>
      </x:c>
      <x:c r="G139" s="6" t="s">
        <x:v>273</x:v>
      </x:c>
      <x:c r="H139" s="299"/>
      <x:c r="I139" s="3"/>
      <x:c r="J139" s="3"/>
      <x:c r="K139" s="4"/>
      <x:c r="L139" s="4">
        <x:f t="shared" si="25"/>
        <x:v>0</x:v>
      </x:c>
      <x:c r="M139" s="5">
        <x:f t="shared" si="24"/>
        <x:v>0</x:v>
      </x:c>
      <x:c r="N139" s="6"/>
      <x:c r="V139" s="1"/>
    </x:row>
    <x:row r="140" spans="1:22" s="2" customFormat="1" ht="20.100000000000001" customHeight="1">
      <x:c r="A140" s="299"/>
      <x:c r="B140" s="3" t="s">
        <x:v>1418</x:v>
      </x:c>
      <x:c r="C140" s="3"/>
      <x:c r="D140" s="4"/>
      <x:c r="E140" s="4">
        <x:f t="shared" si="23"/>
        <x:v>0</x:v>
      </x:c>
      <x:c r="F140" s="194">
        <x:f t="shared" si="22"/>
        <x:v>0</x:v>
      </x:c>
      <x:c r="G140" s="180" t="s">
        <x:v>258</x:v>
      </x:c>
      <x:c r="H140" s="299"/>
      <x:c r="I140" s="3"/>
      <x:c r="J140" s="3"/>
      <x:c r="K140" s="4"/>
      <x:c r="L140" s="4">
        <x:f t="shared" si="25"/>
        <x:v>0</x:v>
      </x:c>
      <x:c r="M140" s="5">
        <x:f t="shared" si="24"/>
        <x:v>0</x:v>
      </x:c>
      <x:c r="N140" s="6"/>
      <x:c r="V140" s="1"/>
    </x:row>
    <x:row r="141" spans="1:22" s="2" customFormat="1" ht="20.100000000000001" customHeight="1">
      <x:c r="A141" s="299"/>
      <x:c r="B141" s="3" t="s">
        <x:v>1406</x:v>
      </x:c>
      <x:c r="C141" s="3"/>
      <x:c r="D141" s="4"/>
      <x:c r="E141" s="4">
        <x:f t="shared" si="23"/>
        <x:v>0</x:v>
      </x:c>
      <x:c r="F141" s="194">
        <x:f t="shared" si="22"/>
        <x:v>0</x:v>
      </x:c>
      <x:c r="G141" s="180" t="s">
        <x:v>258</x:v>
      </x:c>
      <x:c r="H141" s="299"/>
      <x:c r="I141" s="3"/>
      <x:c r="J141" s="3"/>
      <x:c r="K141" s="4"/>
      <x:c r="L141" s="4"/>
      <x:c r="M141" s="5"/>
      <x:c r="N141" s="6"/>
      <x:c r="V141" s="1"/>
    </x:row>
    <x:row r="142" spans="1:22" s="2" customFormat="1" ht="20.100000000000001" customHeight="1">
      <x:c r="A142" s="299"/>
      <x:c r="B142" s="3" t="s">
        <x:v>276</x:v>
      </x:c>
      <x:c r="C142" s="3"/>
      <x:c r="D142" s="4"/>
      <x:c r="E142" s="4">
        <x:f t="shared" si="23"/>
        <x:v>0</x:v>
      </x:c>
      <x:c r="F142" s="194">
        <x:f t="shared" si="22"/>
        <x:v>0</x:v>
      </x:c>
      <x:c r="G142" s="180" t="s">
        <x:v>258</x:v>
      </x:c>
      <x:c r="H142" s="299"/>
      <x:c r="I142" s="3"/>
      <x:c r="J142" s="3"/>
      <x:c r="K142" s="4"/>
      <x:c r="L142" s="4">
        <x:f t="shared" si="25"/>
        <x:v>0</x:v>
      </x:c>
      <x:c r="M142" s="5">
        <x:f t="shared" si="24"/>
        <x:v>0</x:v>
      </x:c>
      <x:c r="N142" s="6"/>
      <x:c r="V142" s="1"/>
    </x:row>
    <x:row r="143" spans="1:22" s="2" customFormat="1" ht="20.100000000000001" customHeight="1">
      <x:c r="A143" s="299"/>
      <x:c r="B143" s="3" t="s">
        <x:v>1400</x:v>
      </x:c>
      <x:c r="C143" s="3" t="s">
        <x:v>491</x:v>
      </x:c>
      <x:c r="D143" s="4">
        <x:v>2368000</x:v>
      </x:c>
      <x:c r="E143" s="4">
        <x:f t="shared" si="23"/>
        <x:v>236800</x:v>
      </x:c>
      <x:c r="F143" s="194">
        <x:f t="shared" si="22"/>
        <x:v>2604800</x:v>
      </x:c>
      <x:c r="G143" s="6" t="s">
        <x:v>273</x:v>
      </x:c>
      <x:c r="H143" s="299"/>
      <x:c r="I143" s="3"/>
      <x:c r="J143" s="3"/>
      <x:c r="K143" s="4"/>
      <x:c r="L143" s="4">
        <x:f t="shared" si="25"/>
        <x:v>0</x:v>
      </x:c>
      <x:c r="M143" s="5">
        <x:f t="shared" si="24"/>
        <x:v>0</x:v>
      </x:c>
      <x:c r="N143" s="6"/>
      <x:c r="V143" s="1"/>
    </x:row>
    <x:row r="144" spans="1:22" s="2" customFormat="1" ht="20.100000000000001" customHeight="1">
      <x:c r="A144" s="299"/>
      <x:c r="B144" s="3" t="s">
        <x:v>1448</x:v>
      </x:c>
      <x:c r="C144" s="3"/>
      <x:c r="D144" s="4"/>
      <x:c r="E144" s="4">
        <x:f t="shared" si="23"/>
        <x:v>0</x:v>
      </x:c>
      <x:c r="F144" s="5">
        <x:f t="shared" si="22"/>
        <x:v>0</x:v>
      </x:c>
      <x:c r="G144" s="6" t="s">
        <x:v>273</x:v>
      </x:c>
      <x:c r="H144" s="299"/>
      <x:c r="I144" s="3"/>
      <x:c r="J144" s="3"/>
      <x:c r="K144" s="4"/>
      <x:c r="L144" s="4">
        <x:f t="shared" si="25"/>
        <x:v>0</x:v>
      </x:c>
      <x:c r="M144" s="5">
        <x:f t="shared" si="24"/>
        <x:v>0</x:v>
      </x:c>
      <x:c r="N144" s="6"/>
      <x:c r="V144" s="1"/>
    </x:row>
    <x:row r="145" spans="1:22" s="2" customFormat="1" ht="20.100000000000001" customHeight="1">
      <x:c r="A145" s="299"/>
      <x:c r="B145" s="3" t="s">
        <x:v>1434</x:v>
      </x:c>
      <x:c r="C145" s="3" t="s">
        <x:v>1439</x:v>
      </x:c>
      <x:c r="D145" s="4">
        <x:v>1460000</x:v>
      </x:c>
      <x:c r="E145" s="4">
        <x:f t="shared" si="23"/>
        <x:v>146000</x:v>
      </x:c>
      <x:c r="F145" s="5">
        <x:f t="shared" si="22"/>
        <x:v>1606000</x:v>
      </x:c>
      <x:c r="G145" s="6" t="s">
        <x:v>507</x:v>
      </x:c>
      <x:c r="H145" s="299"/>
      <x:c r="I145" s="3"/>
      <x:c r="J145" s="3"/>
      <x:c r="K145" s="4"/>
      <x:c r="L145" s="4">
        <x:f t="shared" si="25"/>
        <x:v>0</x:v>
      </x:c>
      <x:c r="M145" s="5">
        <x:f t="shared" si="24"/>
        <x:v>0</x:v>
      </x:c>
      <x:c r="N145" s="6"/>
      <x:c r="V145" s="1"/>
    </x:row>
    <x:row r="146" spans="1:22" s="2" customFormat="1" ht="20.100000000000001" customHeight="1">
      <x:c r="A146" s="299"/>
      <x:c r="B146" s="3"/>
      <x:c r="C146" s="3"/>
      <x:c r="D146" s="4"/>
      <x:c r="E146" s="4"/>
      <x:c r="F146" s="5"/>
      <x:c r="G146" s="6"/>
      <x:c r="H146" s="299"/>
      <x:c r="I146" s="3"/>
      <x:c r="J146" s="3"/>
      <x:c r="K146" s="4"/>
      <x:c r="L146" s="4">
        <x:f t="shared" si="25"/>
        <x:v>0</x:v>
      </x:c>
      <x:c r="M146" s="5">
        <x:f t="shared" si="24"/>
        <x:v>0</x:v>
      </x:c>
      <x:c r="N146" s="6"/>
      <x:c r="V146" s="1"/>
    </x:row>
    <x:row r="147" spans="1:22" s="2" customFormat="1" ht="20.100000000000001" customHeight="1">
      <x:c r="A147" s="299"/>
      <x:c r="B147" s="3"/>
      <x:c r="C147" s="3"/>
      <x:c r="D147" s="4"/>
      <x:c r="E147" s="4"/>
      <x:c r="F147" s="5">
        <x:f t="shared" si="22"/>
        <x:v>0</x:v>
      </x:c>
      <x:c r="G147" s="6"/>
      <x:c r="H147" s="299"/>
      <x:c r="I147" s="3"/>
      <x:c r="J147" s="3"/>
      <x:c r="K147" s="4"/>
      <x:c r="L147" s="4">
        <x:f t="shared" si="25"/>
        <x:v>0</x:v>
      </x:c>
      <x:c r="M147" s="5">
        <x:f t="shared" si="24"/>
        <x:v>0</x:v>
      </x:c>
      <x:c r="N147" s="6"/>
      <x:c r="V147" s="1"/>
    </x:row>
    <x:row r="148" spans="1:22" s="2" customFormat="1" ht="20.100000000000001" customHeight="1">
      <x:c r="A148" s="300"/>
      <x:c r="B148" s="3"/>
      <x:c r="C148" s="3"/>
      <x:c r="D148" s="4"/>
      <x:c r="E148" s="4"/>
      <x:c r="F148" s="5"/>
      <x:c r="G148" s="6"/>
      <x:c r="H148" s="300"/>
      <x:c r="I148" s="3"/>
      <x:c r="J148" s="3"/>
      <x:c r="K148" s="4"/>
      <x:c r="L148" s="4">
        <x:f t="shared" si="25"/>
        <x:v>0</x:v>
      </x:c>
      <x:c r="M148" s="5">
        <x:f t="shared" si="24"/>
        <x:v>0</x:v>
      </x:c>
      <x:c r="N148" s="6"/>
      <x:c r="V148" s="1"/>
    </x:row>
    <x:row r="149" spans="1:22" s="2" customFormat="1" ht="20.100000000000001" customHeight="1">
      <x:c r="A149" s="7" t="s">
        <x:v>155</x:v>
      </x:c>
      <x:c r="B149" s="8"/>
      <x:c r="C149" s="8"/>
      <x:c r="D149" s="9">
        <x:f>SUM(D133:D148)</x:f>
        <x:v>22583400</x:v>
      </x:c>
      <x:c r="E149" s="9">
        <x:f>SUM(E133:E148)</x:f>
        <x:v>2258340</x:v>
      </x:c>
      <x:c r="F149" s="10">
        <x:f>SUM(F133:F148)</x:f>
        <x:v>24841740</x:v>
      </x:c>
      <x:c r="G149" s="11"/>
      <x:c r="H149" s="7"/>
      <x:c r="I149" s="8"/>
      <x:c r="J149" s="8"/>
      <x:c r="K149" s="9">
        <x:f>SUM(K133:K148)</x:f>
        <x:v>744000</x:v>
      </x:c>
      <x:c r="L149" s="9">
        <x:f>SUM(L133:L148)</x:f>
        <x:v>74400</x:v>
      </x:c>
      <x:c r="M149" s="10">
        <x:f>SUM(M133:M148)</x:f>
        <x:v>818400</x:v>
      </x:c>
      <x:c r="N149" s="11"/>
      <x:c r="V149" s="1"/>
    </x:row>
    <x:row r="150" spans="1:22" s="2" customFormat="1" ht="20.100000000000001" customHeight="1">
      <x:c r="A150" s="301" t="s">
        <x:v>153</x:v>
      </x:c>
      <x:c r="B150" s="3" t="s">
        <x:v>1241</x:v>
      </x:c>
      <x:c r="C150" s="3" t="s">
        <x:v>264</x:v>
      </x:c>
      <x:c r="D150" s="44">
        <x:v>3060000</x:v>
      </x:c>
      <x:c r="E150" s="44"/>
      <x:c r="F150" s="45">
        <x:f>+D150+E150</x:f>
        <x:v>3060000</x:v>
      </x:c>
      <x:c r="G150" s="180" t="s">
        <x:v>258</x:v>
      </x:c>
      <x:c r="H150" s="301" t="s">
        <x:v>153</x:v>
      </x:c>
      <x:c r="I150" s="3" t="s">
        <x:v>1677</x:v>
      </x:c>
      <x:c r="J150" s="3" t="s">
        <x:v>1467</x:v>
      </x:c>
      <x:c r="K150" s="4">
        <x:v>3630000</x:v>
      </x:c>
      <x:c r="L150" s="4">
        <x:f>+K150*0.1</x:f>
        <x:v>363000</x:v>
      </x:c>
      <x:c r="M150" s="5">
        <x:f>+K150+L150</x:f>
        <x:v>3993000</x:v>
      </x:c>
      <x:c r="N150" s="6"/>
      <x:c r="V150" s="1"/>
    </x:row>
    <x:row r="151" spans="1:22" s="2" customFormat="1" ht="20.100000000000001" customHeight="1">
      <x:c r="A151" s="299"/>
      <x:c r="B151" s="3"/>
      <x:c r="C151" s="3"/>
      <x:c r="D151" s="44"/>
      <x:c r="E151" s="44">
        <x:f>+D151*0.1</x:f>
        <x:v>0</x:v>
      </x:c>
      <x:c r="F151" s="45">
        <x:f>+D151+E151</x:f>
        <x:v>0</x:v>
      </x:c>
      <x:c r="G151" s="37"/>
      <x:c r="H151" s="299"/>
      <x:c r="I151" s="3"/>
      <x:c r="J151" s="3"/>
      <x:c r="K151" s="4"/>
      <x:c r="L151" s="4">
        <x:f>+K151*0.1</x:f>
        <x:v>0</x:v>
      </x:c>
      <x:c r="M151" s="5">
        <x:f>+K151+L151</x:f>
        <x:v>0</x:v>
      </x:c>
      <x:c r="N151" s="6"/>
      <x:c r="V151" s="1"/>
    </x:row>
    <x:row r="152" spans="1:22" s="2" customFormat="1" ht="20.100000000000001" customHeight="1">
      <x:c r="A152" s="299"/>
      <x:c r="B152" s="3"/>
      <x:c r="C152" s="3"/>
      <x:c r="D152" s="4"/>
      <x:c r="E152" s="4">
        <x:f>+D152*0.1</x:f>
        <x:v>0</x:v>
      </x:c>
      <x:c r="F152" s="5">
        <x:f>+D152+E152</x:f>
        <x:v>0</x:v>
      </x:c>
      <x:c r="G152" s="6"/>
      <x:c r="H152" s="299"/>
      <x:c r="I152" s="3"/>
      <x:c r="J152" s="3"/>
      <x:c r="K152" s="4"/>
      <x:c r="L152" s="4">
        <x:f>+K152*0.1</x:f>
        <x:v>0</x:v>
      </x:c>
      <x:c r="M152" s="5">
        <x:f>+K152+L152</x:f>
        <x:v>0</x:v>
      </x:c>
      <x:c r="N152" s="6"/>
      <x:c r="V152" s="1"/>
    </x:row>
    <x:row r="153" spans="1:22" s="2" customFormat="1" ht="20.100000000000001" customHeight="1">
      <x:c r="A153" s="300"/>
      <x:c r="B153" s="3"/>
      <x:c r="C153" s="3"/>
      <x:c r="D153" s="4"/>
      <x:c r="E153" s="4">
        <x:f>+D153*0.1</x:f>
        <x:v>0</x:v>
      </x:c>
      <x:c r="F153" s="5">
        <x:f>+D153+E153</x:f>
        <x:v>0</x:v>
      </x:c>
      <x:c r="G153" s="6"/>
      <x:c r="H153" s="300"/>
      <x:c r="I153" s="3"/>
      <x:c r="J153" s="3"/>
      <x:c r="K153" s="4"/>
      <x:c r="L153" s="4">
        <x:f>+K153*0.1</x:f>
        <x:v>0</x:v>
      </x:c>
      <x:c r="M153" s="5">
        <x:f>+K153+L153</x:f>
        <x:v>0</x:v>
      </x:c>
      <x:c r="N153" s="6"/>
      <x:c r="V153" s="1"/>
    </x:row>
    <x:row r="154" spans="1:22" s="2" customFormat="1" ht="20.100000000000001" customHeight="1">
      <x:c r="A154" s="7" t="s">
        <x:v>155</x:v>
      </x:c>
      <x:c r="B154" s="8"/>
      <x:c r="C154" s="8"/>
      <x:c r="D154" s="9">
        <x:f>SUM(D150:D153)</x:f>
        <x:v>3060000</x:v>
      </x:c>
      <x:c r="E154" s="9">
        <x:f>SUM(E150:E153)</x:f>
        <x:v>0</x:v>
      </x:c>
      <x:c r="F154" s="10">
        <x:f>SUM(F150:F153)</x:f>
        <x:v>3060000</x:v>
      </x:c>
      <x:c r="G154" s="11"/>
      <x:c r="H154" s="7"/>
      <x:c r="I154" s="8"/>
      <x:c r="J154" s="8"/>
      <x:c r="K154" s="9">
        <x:f>SUM(K150:K153)</x:f>
        <x:v>3630000</x:v>
      </x:c>
      <x:c r="L154" s="9">
        <x:f>SUM(L150:L153)</x:f>
        <x:v>363000</x:v>
      </x:c>
      <x:c r="M154" s="10">
        <x:f>SUM(M150:M153)</x:f>
        <x:v>3993000</x:v>
      </x:c>
      <x:c r="N154" s="11"/>
      <x:c r="V154" s="1"/>
    </x:row>
    <x:row r="155" spans="1:22" s="2" customFormat="1" ht="20.100000000000001" customHeight="1">
      <x:c r="A155" s="301" t="s">
        <x:v>187</x:v>
      </x:c>
      <x:c r="B155" s="3" t="s">
        <x:v>484</x:v>
      </x:c>
      <x:c r="C155" s="3" t="s">
        <x:v>1373</x:v>
      </x:c>
      <x:c r="D155" s="4">
        <x:v>800000</x:v>
      </x:c>
      <x:c r="E155" s="4">
        <x:f>+D155*0.1</x:f>
        <x:v>80000</x:v>
      </x:c>
      <x:c r="F155" s="5">
        <x:f>+D155+E155</x:f>
        <x:v>880000</x:v>
      </x:c>
      <x:c r="G155" s="180" t="s">
        <x:v>258</x:v>
      </x:c>
      <x:c r="H155" s="301" t="s">
        <x:v>187</x:v>
      </x:c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>
        <x:f>+D156+E156</x:f>
        <x:v>0</x:v>
      </x:c>
      <x:c r="G156" s="180"/>
      <x:c r="H156" s="299"/>
      <x:c r="I156" s="3"/>
      <x:c r="J156" s="3"/>
      <x:c r="K156" s="4"/>
      <x:c r="L156" s="4">
        <x:f>+K156*0.1</x:f>
        <x:v>0</x:v>
      </x:c>
      <x:c r="M156" s="5">
        <x:f>+K156+L156</x:f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>
        <x:f>+D157+E157</x:f>
        <x:v>0</x:v>
      </x:c>
      <x:c r="G157" s="180"/>
      <x:c r="H157" s="299"/>
      <x:c r="I157" s="3"/>
      <x:c r="J157" s="3"/>
      <x:c r="K157" s="4"/>
      <x:c r="L157" s="4">
        <x:f>+K157*0.1</x:f>
        <x:v>0</x:v>
      </x:c>
      <x:c r="M157" s="5">
        <x:f>+K157+L157</x:f>
        <x:v>0</x:v>
      </x:c>
      <x:c r="N157" s="6"/>
      <x:c r="V157" s="1"/>
    </x:row>
    <x:row r="158" spans="1:22" s="2" customFormat="1" ht="20.100000000000001" customHeight="1">
      <x:c r="A158" s="300"/>
      <x:c r="B158" s="3"/>
      <x:c r="C158" s="3"/>
      <x:c r="D158" s="4"/>
      <x:c r="E158" s="4"/>
      <x:c r="F158" s="5">
        <x:f>+D158+E158</x:f>
        <x:v>0</x:v>
      </x:c>
      <x:c r="G158" s="6"/>
      <x:c r="H158" s="300"/>
      <x:c r="I158" s="3"/>
      <x:c r="J158" s="3"/>
      <x:c r="K158" s="4"/>
      <x:c r="L158" s="4">
        <x:f>+K158*0.1</x:f>
        <x:v>0</x:v>
      </x:c>
      <x:c r="M158" s="5">
        <x:f>+K158+L158</x:f>
        <x:v>0</x:v>
      </x:c>
      <x:c r="N158" s="6"/>
      <x:c r="V158" s="1"/>
    </x:row>
    <x:row r="159" spans="1:22" s="2" customFormat="1" ht="20.100000000000001" customHeight="1">
      <x:c r="A159" s="7" t="s">
        <x:v>155</x:v>
      </x:c>
      <x:c r="B159" s="8"/>
      <x:c r="C159" s="8"/>
      <x:c r="D159" s="9">
        <x:f>SUM(D155:D158)</x:f>
        <x:v>800000</x:v>
      </x:c>
      <x:c r="E159" s="9">
        <x:f>SUM(E155:E158)</x:f>
        <x:v>80000</x:v>
      </x:c>
      <x:c r="F159" s="10">
        <x:f>SUM(F155:F158)</x:f>
        <x:v>880000</x:v>
      </x:c>
      <x:c r="G159" s="11"/>
      <x:c r="H159" s="7"/>
      <x:c r="I159" s="8"/>
      <x:c r="J159" s="8"/>
      <x:c r="K159" s="9">
        <x:f>SUM(K155:K158)</x:f>
        <x:v>0</x:v>
      </x:c>
      <x:c r="L159" s="9">
        <x:f>SUM(L155:L158)</x:f>
        <x:v>0</x:v>
      </x:c>
      <x:c r="M159" s="10">
        <x:f>SUM(M155:M158)</x:f>
        <x:v>0</x:v>
      </x:c>
      <x:c r="N159" s="11"/>
      <x:c r="V159" s="1"/>
    </x:row>
    <x:row r="160" spans="1:22" s="2" customFormat="1" ht="20.100000000000001" customHeight="1">
      <x:c r="A160" s="301" t="s">
        <x:v>149</x:v>
      </x:c>
      <x:c r="B160" s="3" t="s">
        <x:v>1404</x:v>
      </x:c>
      <x:c r="C160" s="3" t="s">
        <x:v>887</x:v>
      </x:c>
      <x:c r="D160" s="4">
        <x:v>8470</x:v>
      </x:c>
      <x:c r="E160" s="4"/>
      <x:c r="F160" s="5">
        <x:f>+D160+E160</x:f>
        <x:v>8470</x:v>
      </x:c>
      <x:c r="G160" s="6" t="s">
        <x:v>489</x:v>
      </x:c>
      <x:c r="H160" s="301" t="s">
        <x:v>149</x:v>
      </x:c>
      <x:c r="I160" s="3" t="s">
        <x:v>169</x:v>
      </x:c>
      <x:c r="J160" s="3" t="s">
        <x:v>149</x:v>
      </x:c>
      <x:c r="K160" s="4">
        <x:v>1825850</x:v>
      </x:c>
      <x:c r="L160" s="4"/>
      <x:c r="M160" s="5">
        <x:f t="shared" ref="M160:M167" si="26">+K160+L160</x:f>
        <x:v>1825850</x:v>
      </x:c>
      <x:c r="N160" s="6"/>
      <x:c r="V160" s="1"/>
    </x:row>
    <x:row r="161" spans="1:22" s="2" customFormat="1" ht="20.100000000000001" customHeight="1">
      <x:c r="A161" s="299"/>
      <x:c r="B161" s="3"/>
      <x:c r="C161" s="3"/>
      <x:c r="D161" s="4"/>
      <x:c r="E161" s="4"/>
      <x:c r="F161" s="5">
        <x:f>+D161+E161</x:f>
        <x:v>0</x:v>
      </x:c>
      <x:c r="G161" s="6"/>
      <x:c r="H161" s="299"/>
      <x:c r="I161" s="3" t="s">
        <x:v>1433</x:v>
      </x:c>
      <x:c r="J161" s="3" t="s">
        <x:v>504</x:v>
      </x:c>
      <x:c r="K161" s="4">
        <x:v>6500000</x:v>
      </x:c>
      <x:c r="L161" s="4">
        <x:f>+K161*0.1</x:f>
        <x:v>650000</x:v>
      </x:c>
      <x:c r="M161" s="5">
        <x:f t="shared" si="26"/>
        <x:v>7150000</x:v>
      </x:c>
      <x:c r="N161" s="6" t="s">
        <x:v>1455</x:v>
      </x:c>
      <x:c r="V161" s="1"/>
    </x:row>
    <x:row r="162" spans="1:22" s="2" customFormat="1" ht="20.100000000000001" customHeight="1">
      <x:c r="A162" s="299"/>
      <x:c r="B162" s="3"/>
      <x:c r="C162" s="3"/>
      <x:c r="D162" s="4"/>
      <x:c r="E162" s="4"/>
      <x:c r="F162" s="5">
        <x:f>+D162+E162</x:f>
        <x:v>0</x:v>
      </x:c>
      <x:c r="G162" s="6"/>
      <x:c r="H162" s="299"/>
      <x:c r="I162" s="3"/>
      <x:c r="J162" s="3"/>
      <x:c r="K162" s="4"/>
      <x:c r="L162" s="4"/>
      <x:c r="M162" s="5"/>
      <x:c r="N162" s="6"/>
      <x:c r="V162" s="1"/>
    </x:row>
    <x:row r="163" spans="1:22" s="2" customFormat="1" ht="20.100000000000001" customHeight="1">
      <x:c r="A163" s="299"/>
      <x:c r="B163" s="3"/>
      <x:c r="C163" s="3"/>
      <x:c r="D163" s="4"/>
      <x:c r="E163" s="4"/>
      <x:c r="F163" s="5">
        <x:f t="shared" ref="F163:F169" si="27">+D163+E163</x:f>
        <x:v>0</x:v>
      </x:c>
      <x:c r="G163" s="6"/>
      <x:c r="H163" s="299"/>
      <x:c r="I163" s="3"/>
      <x:c r="J163" s="3"/>
      <x:c r="K163" s="4"/>
      <x:c r="L163" s="4"/>
      <x:c r="M163" s="5"/>
      <x:c r="N163" s="6"/>
      <x:c r="V163" s="1"/>
    </x:row>
    <x:row r="164" spans="1:22" s="2" customFormat="1" ht="20.100000000000001" customHeight="1">
      <x:c r="A164" s="299"/>
      <x:c r="B164" s="3"/>
      <x:c r="C164" s="3"/>
      <x:c r="D164" s="4"/>
      <x:c r="E164" s="4"/>
      <x:c r="F164" s="5">
        <x:f t="shared" si="27"/>
        <x:v>0</x:v>
      </x:c>
      <x:c r="G164" s="6"/>
      <x:c r="H164" s="299"/>
      <x:c r="I164" s="3"/>
      <x:c r="J164" s="3"/>
      <x:c r="K164" s="4"/>
      <x:c r="L164" s="4">
        <x:f t="shared" ref="L164:L169" si="28">+K164*0.1</x:f>
        <x:v>0</x:v>
      </x:c>
      <x:c r="M164" s="5">
        <x:f>+K164+L164</x:f>
        <x:v>0</x:v>
      </x:c>
      <x:c r="N164" s="6"/>
      <x:c r="V164" s="1"/>
    </x:row>
    <x:row r="165" spans="1:22" s="2" customFormat="1" ht="20.100000000000001" customHeight="1">
      <x:c r="A165" s="299"/>
      <x:c r="B165" s="3"/>
      <x:c r="C165" s="3"/>
      <x:c r="D165" s="4"/>
      <x:c r="E165" s="4"/>
      <x:c r="F165" s="5">
        <x:f t="shared" si="27"/>
        <x:v>0</x:v>
      </x:c>
      <x:c r="G165" s="6"/>
      <x:c r="H165" s="299"/>
      <x:c r="I165" s="3"/>
      <x:c r="J165" s="3"/>
      <x:c r="K165" s="4"/>
      <x:c r="L165" s="4">
        <x:f t="shared" si="28"/>
        <x:v>0</x:v>
      </x:c>
      <x:c r="M165" s="5">
        <x:f t="shared" si="26"/>
        <x:v>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 t="shared" si="27"/>
        <x:v>0</x:v>
      </x:c>
      <x:c r="G166" s="6"/>
      <x:c r="H166" s="299"/>
      <x:c r="I166" s="3"/>
      <x:c r="J166" s="3"/>
      <x:c r="K166" s="4"/>
      <x:c r="L166" s="4">
        <x:f t="shared" si="28"/>
        <x:v>0</x:v>
      </x:c>
      <x:c r="M166" s="5">
        <x:f t="shared" si="26"/>
        <x:v>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 t="shared" si="27"/>
        <x:v>0</x:v>
      </x:c>
      <x:c r="G167" s="6"/>
      <x:c r="H167" s="299"/>
      <x:c r="I167" s="3"/>
      <x:c r="J167" s="3"/>
      <x:c r="K167" s="4"/>
      <x:c r="L167" s="4">
        <x:f t="shared" si="28"/>
        <x:v>0</x:v>
      </x:c>
      <x:c r="M167" s="5">
        <x:f t="shared" si="26"/>
        <x:v>0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 t="shared" si="27"/>
        <x:v>0</x:v>
      </x:c>
      <x:c r="G168" s="6"/>
      <x:c r="H168" s="299"/>
      <x:c r="I168" s="3"/>
      <x:c r="J168" s="3"/>
      <x:c r="K168" s="4"/>
      <x:c r="L168" s="4">
        <x:f t="shared" si="28"/>
        <x:v>0</x:v>
      </x:c>
      <x:c r="M168" s="5"/>
      <x:c r="N168" s="6"/>
      <x:c r="V168" s="1"/>
    </x:row>
    <x:row r="169" spans="1:22" s="2" customFormat="1" ht="20.100000000000001" customHeight="1">
      <x:c r="A169" s="300"/>
      <x:c r="B169" s="3"/>
      <x:c r="C169" s="3"/>
      <x:c r="D169" s="4"/>
      <x:c r="E169" s="4"/>
      <x:c r="F169" s="5">
        <x:f t="shared" si="27"/>
        <x:v>0</x:v>
      </x:c>
      <x:c r="G169" s="6"/>
      <x:c r="H169" s="300"/>
      <x:c r="I169" s="3"/>
      <x:c r="J169" s="3"/>
      <x:c r="K169" s="4"/>
      <x:c r="L169" s="4">
        <x:f t="shared" si="28"/>
        <x:v>0</x:v>
      </x:c>
      <x:c r="M169" s="5">
        <x:f>+K169+L169</x:f>
        <x:v>0</x:v>
      </x:c>
      <x:c r="N169" s="6"/>
      <x:c r="V169" s="1"/>
    </x:row>
    <x:row r="170" spans="1:22" s="2" customFormat="1" ht="20.100000000000001" customHeight="1">
      <x:c r="A170" s="7" t="s">
        <x:v>155</x:v>
      </x:c>
      <x:c r="B170" s="8"/>
      <x:c r="C170" s="8"/>
      <x:c r="D170" s="9">
        <x:f>SUM(D160:D169)</x:f>
        <x:v>8470</x:v>
      </x:c>
      <x:c r="E170" s="9">
        <x:f>SUM(E160:E169)</x:f>
        <x:v>0</x:v>
      </x:c>
      <x:c r="F170" s="10">
        <x:f>SUM(F160:F169)</x:f>
        <x:v>8470</x:v>
      </x:c>
      <x:c r="G170" s="11"/>
      <x:c r="H170" s="7"/>
      <x:c r="I170" s="8"/>
      <x:c r="J170" s="8"/>
      <x:c r="K170" s="9">
        <x:f>SUM(K160:K169)</x:f>
        <x:v>8325850</x:v>
      </x:c>
      <x:c r="L170" s="9">
        <x:f>SUM(L160:L169)</x:f>
        <x:v>650000</x:v>
      </x:c>
      <x:c r="M170" s="10">
        <x:f>SUM(M160:M169)</x:f>
        <x:v>8975850</x:v>
      </x:c>
      <x:c r="N170" s="11"/>
      <x:c r="V170" s="1"/>
    </x:row>
    <x:row r="171" spans="1:22" s="2" customFormat="1" ht="20.100000000000001" customHeight="1">
      <x:c r="A171" s="12" t="s">
        <x:v>1690</x:v>
      </x:c>
      <x:c r="B171" s="13"/>
      <x:c r="C171" s="13"/>
      <x:c r="D171" s="14">
        <x:f>+D149+D154+D159+D170</x:f>
        <x:v>26451870</x:v>
      </x:c>
      <x:c r="E171" s="14">
        <x:f>+E149+E154+E159+E170</x:f>
        <x:v>2338340</x:v>
      </x:c>
      <x:c r="F171" s="15">
        <x:f>+F149+F154+F159+F170</x:f>
        <x:v>28790210</x:v>
      </x:c>
      <x:c r="G171" s="16"/>
      <x:c r="H171" s="12"/>
      <x:c r="I171" s="13"/>
      <x:c r="J171" s="13"/>
      <x:c r="K171" s="14">
        <x:f>+K149+K154+K159+K170</x:f>
        <x:v>12699850</x:v>
      </x:c>
      <x:c r="L171" s="14">
        <x:f>+L149+L154+L159+L170</x:f>
        <x:v>1087400</x:v>
      </x:c>
      <x:c r="M171" s="15">
        <x:f>+M149+M154+M159+M170</x:f>
        <x:v>13787250</x:v>
      </x:c>
      <x:c r="N171" s="16"/>
      <x:c r="V171" s="1"/>
    </x:row>
    <x:row r="172" spans="1:22" s="2" customFormat="1" ht="20.100000000000001" customHeight="1">
      <x:c r="A172" s="23" t="s">
        <x:v>35</x:v>
      </x:c>
      <x:c r="B172" s="24"/>
      <x:c r="C172" s="24"/>
      <x:c r="D172" s="25">
        <x:f>+D132-D171</x:f>
        <x:v>19978130</x:v>
      </x:c>
      <x:c r="E172" s="25">
        <x:f>+E132-E171</x:f>
        <x:v>2304660</x:v>
      </x:c>
      <x:c r="F172" s="26">
        <x:f>+F132-F171</x:f>
        <x:v>22282790</x:v>
      </x:c>
      <x:c r="G172" s="27"/>
      <x:c r="H172" s="23"/>
      <x:c r="I172" s="24"/>
      <x:c r="J172" s="24"/>
      <x:c r="K172" s="25">
        <x:f>+K132-K171</x:f>
        <x:v>-12699850</x:v>
      </x:c>
      <x:c r="L172" s="25">
        <x:f>+L132-L171</x:f>
        <x:v>-1087400</x:v>
      </x:c>
      <x:c r="M172" s="26">
        <x:f>+M132-M171</x:f>
        <x:v>-13787250</x:v>
      </x:c>
      <x:c r="N172" s="27"/>
      <x:c r="V172" s="1"/>
    </x:row>
    <x:row r="175" spans="1:22" s="2" customFormat="1">
      <x:c r="A175" s="1" t="s">
        <x:v>148</x:v>
      </x:c>
      <x:c r="B175" s="1"/>
      <x:c r="C175" s="1"/>
      <x:c r="D175" s="2">
        <x:f>+D18+D63+D106+D149</x:f>
        <x:v>149520019</x:v>
      </x:c>
      <x:c r="E175" s="2">
        <x:f>+E18+E63+E106+E149</x:f>
        <x:v>14952001</x:v>
      </x:c>
      <x:c r="F175" s="2">
        <x:f>+F18+F63+F106+F149</x:f>
        <x:v>164472020</x:v>
      </x:c>
      <x:c r="H175" s="1"/>
      <x:c r="I175" s="1"/>
      <x:c r="J175" s="1"/>
      <x:c r="K175" s="2">
        <x:f>+K18+K63+K106+K149</x:f>
        <x:v>25183375</x:v>
      </x:c>
      <x:c r="L175" s="2">
        <x:f>+L18+L63+L106+L149</x:f>
        <x:v>2518336</x:v>
      </x:c>
      <x:c r="M175" s="2">
        <x:f>+M18+M63+M106+M149</x:f>
        <x:v>27701711</x:v>
      </x:c>
      <x:c r="V175" s="1"/>
    </x:row>
    <x:row r="176" spans="1:22" s="2" customFormat="1">
      <x:c r="A176" s="1" t="s">
        <x:v>153</x:v>
      </x:c>
      <x:c r="B176" s="1"/>
      <x:c r="C176" s="1"/>
      <x:c r="D176" s="2">
        <x:f>+D24+D68+D111+D154</x:f>
        <x:v>226717500</x:v>
      </x:c>
      <x:c r="E176" s="2">
        <x:f>+E24+E68+E111+E154</x:f>
        <x:v>2026750</x:v>
      </x:c>
      <x:c r="F176" s="2">
        <x:f>+F24+F68+F111+F154</x:f>
        <x:v>228744250</x:v>
      </x:c>
      <x:c r="H176" s="1"/>
      <x:c r="I176" s="1"/>
      <x:c r="J176" s="1"/>
      <x:c r="K176" s="2">
        <x:f>+K24+K68+K111+K154</x:f>
        <x:v>56180000</x:v>
      </x:c>
      <x:c r="L176" s="2">
        <x:f>+L24+L68+L111+L154</x:f>
        <x:v>363000</x:v>
      </x:c>
      <x:c r="M176" s="2">
        <x:f>+M24+M68+M111+M154</x:f>
        <x:v>56543000</x:v>
      </x:c>
      <x:c r="V176" s="1"/>
    </x:row>
    <x:row r="177" spans="1:13" s="2" customFormat="1">
      <x:c r="A177" s="1" t="s">
        <x:v>187</x:v>
      </x:c>
      <x:c r="B177" s="1"/>
      <x:c r="C177" s="1"/>
      <x:c r="D177" s="2">
        <x:f>+D29+D73+D116+D159</x:f>
        <x:v>3918000</x:v>
      </x:c>
      <x:c r="E177" s="2">
        <x:f>+E29+E73+E116+E159</x:f>
        <x:v>391800</x:v>
      </x:c>
      <x:c r="F177" s="2">
        <x:f>+F29+F73+F116+F159</x:f>
        <x:v>4309800</x:v>
      </x:c>
      <x:c r="H177" s="1"/>
      <x:c r="I177" s="1"/>
      <x:c r="J177" s="1"/>
      <x:c r="K177" s="2">
        <x:f>+K29+K73+K116+K159</x:f>
        <x:v>60000</x:v>
      </x:c>
      <x:c r="L177" s="2">
        <x:f>+L29+L73+L116+L159</x:f>
        <x:v>6000</x:v>
      </x:c>
      <x:c r="M177" s="2">
        <x:f>+M29+M73+M116+M159</x:f>
        <x:v>66000</x:v>
      </x:c>
    </x:row>
    <x:row r="178" spans="1:13" s="2" customFormat="1">
      <x:c r="A178" s="1" t="s">
        <x:v>149</x:v>
      </x:c>
      <x:c r="B178" s="1"/>
      <x:c r="C178" s="1"/>
      <x:c r="D178" s="2">
        <x:f>+D41+D84+D127+D170</x:f>
        <x:v>7534735</x:v>
      </x:c>
      <x:c r="E178" s="2">
        <x:f>+E41+E84+E127+E170</x:f>
        <x:v>319683.59999999998</x:v>
      </x:c>
      <x:c r="F178" s="2">
        <x:f>+F41+F84+F127+F170</x:f>
        <x:v>7854418.5999999996</x:v>
      </x:c>
      <x:c r="H178" s="1"/>
      <x:c r="I178" s="1"/>
      <x:c r="J178" s="1"/>
      <x:c r="K178" s="2">
        <x:f>+K41+K84+K127+K170</x:f>
        <x:v>17177773</x:v>
      </x:c>
      <x:c r="L178" s="2">
        <x:f>+L41+L84+L127+L170</x:f>
        <x:v>1121434.7</x:v>
      </x:c>
      <x:c r="M178" s="2">
        <x:f>+M41+M84+M127+M170</x:f>
        <x:v>18299207.699999999</x:v>
      </x:c>
    </x:row>
    <x:row r="179" spans="1:13" s="2" customFormat="1">
      <x:c r="A179" s="1" t="s">
        <x:v>202</x:v>
      </x:c>
      <x:c r="B179" s="1"/>
      <x:c r="C179" s="1"/>
      <x:c r="D179" s="2">
        <x:f>SUM(D175:D178)</x:f>
        <x:v>387690254</x:v>
      </x:c>
      <x:c r="E179" s="2">
        <x:f>SUM(E175:E178)</x:f>
        <x:v>17690234.600000001</x:v>
      </x:c>
      <x:c r="F179" s="2">
        <x:f>SUM(F175:F178)</x:f>
        <x:v>405380488.60000002</x:v>
      </x:c>
      <x:c r="H179" s="1"/>
      <x:c r="I179" s="1"/>
      <x:c r="J179" s="1"/>
      <x:c r="K179" s="2">
        <x:f>SUM(K175:K178)</x:f>
        <x:v>98601148</x:v>
      </x:c>
      <x:c r="L179" s="2">
        <x:f>SUM(L175:L178)</x:f>
        <x:v>4008770.7000000002</x:v>
      </x:c>
      <x:c r="M179" s="2">
        <x:f>SUM(M175:M178)</x:f>
        <x:v>102609918.7</x:v>
      </x:c>
    </x:row>
    <x:row r="182" spans="1:10" s="2" customFormat="1">
      <x:c r="A182" s="1" t="s">
        <x:v>148</x:v>
      </x:c>
      <x:c r="B182" s="1"/>
      <x:c r="C182" s="1"/>
      <x:c r="D182" s="2">
        <x:f>+D175+K175</x:f>
        <x:v>174703394</x:v>
      </x:c>
      <x:c r="E182" s="2">
        <x:f>+E175+L175</x:f>
        <x:v>17470337</x:v>
      </x:c>
      <x:c r="F182" s="2">
        <x:f>+F175+M175</x:f>
        <x:v>192173731</x:v>
      </x:c>
      <x:c r="H182" s="1"/>
      <x:c r="I182" s="1"/>
      <x:c r="J182" s="1"/>
    </x:row>
    <x:row r="183" spans="1:10" s="2" customFormat="1">
      <x:c r="A183" s="1" t="s">
        <x:v>153</x:v>
      </x:c>
      <x:c r="B183" s="1"/>
      <x:c r="C183" s="1"/>
      <x:c r="D183" s="2">
        <x:f t="shared" ref="D183:F185" si="29">+D176+K176</x:f>
        <x:v>282897500</x:v>
      </x:c>
      <x:c r="E183" s="2">
        <x:f t="shared" si="29"/>
        <x:v>2389750</x:v>
      </x:c>
      <x:c r="F183" s="2">
        <x:f t="shared" si="29"/>
        <x:v>285287250</x:v>
      </x:c>
      <x:c r="H183" s="1"/>
      <x:c r="I183" s="1"/>
      <x:c r="J183" s="1"/>
    </x:row>
    <x:row r="184" spans="1:10" s="2" customFormat="1">
      <x:c r="A184" s="1" t="s">
        <x:v>187</x:v>
      </x:c>
      <x:c r="B184" s="1"/>
      <x:c r="C184" s="1"/>
      <x:c r="D184" s="2">
        <x:f t="shared" si="29"/>
        <x:v>3978000</x:v>
      </x:c>
      <x:c r="E184" s="2">
        <x:f t="shared" si="29"/>
        <x:v>397800</x:v>
      </x:c>
      <x:c r="F184" s="2">
        <x:f t="shared" si="29"/>
        <x:v>4375800</x:v>
      </x:c>
      <x:c r="H184" s="1"/>
      <x:c r="I184" s="1"/>
      <x:c r="J184" s="1"/>
    </x:row>
    <x:row r="185" spans="1:10" s="2" customFormat="1">
      <x:c r="A185" s="1" t="s">
        <x:v>149</x:v>
      </x:c>
      <x:c r="B185" s="1"/>
      <x:c r="C185" s="1"/>
      <x:c r="D185" s="2">
        <x:f t="shared" si="29"/>
        <x:v>24712508</x:v>
      </x:c>
      <x:c r="E185" s="2">
        <x:f t="shared" si="29"/>
        <x:v>1441118.2999999998</x:v>
      </x:c>
      <x:c r="F185" s="2">
        <x:f t="shared" si="29"/>
        <x:v>26153626.299999997</x:v>
      </x:c>
      <x:c r="H185" s="1"/>
      <x:c r="I185" s="1"/>
      <x:c r="J185" s="1"/>
    </x:row>
    <x:row r="186" spans="1:10" s="2" customFormat="1">
      <x:c r="A186" s="1" t="s">
        <x:v>1019</x:v>
      </x:c>
      <x:c r="B186" s="1"/>
      <x:c r="C186" s="1"/>
      <x:c r="D186" s="2">
        <x:f>SUM(D182:D185)</x:f>
        <x:v>486291402</x:v>
      </x:c>
      <x:c r="E186" s="2">
        <x:f>SUM(E182:E185)</x:f>
        <x:v>21699005.300000001</x:v>
      </x:c>
      <x:c r="F186" s="2">
        <x:f>SUM(F182:F185)</x:f>
        <x:v>507990407.30000001</x:v>
      </x:c>
      <x:c r="H186" s="1"/>
      <x:c r="I186" s="1"/>
      <x:c r="J186" s="1"/>
    </x:row>
    <x:row r="187" spans="1:10" s="2" customFormat="1">
      <x:c r="A187" s="1" t="s">
        <x:v>151</x:v>
      </x:c>
      <x:c r="B187" s="1"/>
      <x:c r="C187" s="1"/>
      <x:c r="D187" s="2">
        <x:f>D4+D46+D89+K4+K46+K89+D132+K132</x:f>
        <x:v>366339091</x:v>
      </x:c>
      <x:c r="E187" s="2">
        <x:f>E4+E46+E89+L4+L46+L89</x:f>
        <x:v>18690909</x:v>
      </x:c>
      <x:c r="F187" s="2">
        <x:f>F4+F46+F89+M4+M46+M89</x:f>
        <x:v>338600000</x:v>
      </x:c>
      <x:c r="H187" s="1"/>
      <x:c r="I187" s="1"/>
      <x:c r="J187" s="1"/>
    </x:row>
    <x:row r="188" spans="1:10" s="2" customFormat="1">
      <x:c r="A188" s="1" t="s">
        <x:v>632</x:v>
      </x:c>
      <x:c r="B188" s="1"/>
      <x:c r="C188" s="1"/>
      <x:c r="D188" s="2">
        <x:f>+D187-D186</x:f>
        <x:v>-119952311</x:v>
      </x:c>
      <x:c r="E188" s="2">
        <x:f>+E187-E186</x:f>
        <x:v>-3008096.3000000007</x:v>
      </x:c>
      <x:c r="F188" s="2">
        <x:f>+F187-F186</x:f>
        <x:v>-169390407.30000001</x:v>
      </x:c>
      <x:c r="H188" s="1"/>
      <x:c r="I188" s="1"/>
      <x:c r="J188" s="1"/>
    </x:row>
  </x:sheetData>
  <x:mergeCells count="42">
    <x:mergeCell ref="A150:A153"/>
    <x:mergeCell ref="H150:H153"/>
    <x:mergeCell ref="A155:A158"/>
    <x:mergeCell ref="H155:H158"/>
    <x:mergeCell ref="A160:A169"/>
    <x:mergeCell ref="H160:H169"/>
    <x:mergeCell ref="A117:A126"/>
    <x:mergeCell ref="H117:H126"/>
    <x:mergeCell ref="A130:G130"/>
    <x:mergeCell ref="H130:N130"/>
    <x:mergeCell ref="A133:A148"/>
    <x:mergeCell ref="H133:H148"/>
    <x:mergeCell ref="A90:A105"/>
    <x:mergeCell ref="H90:H105"/>
    <x:mergeCell ref="A107:A110"/>
    <x:mergeCell ref="H107:H110"/>
    <x:mergeCell ref="A112:A115"/>
    <x:mergeCell ref="H112:H115"/>
    <x:mergeCell ref="A69:A72"/>
    <x:mergeCell ref="H69:H72"/>
    <x:mergeCell ref="A74:A83"/>
    <x:mergeCell ref="H74:H83"/>
    <x:mergeCell ref="A87:G87"/>
    <x:mergeCell ref="H87:N87"/>
    <x:mergeCell ref="A44:G44"/>
    <x:mergeCell ref="H44:N44"/>
    <x:mergeCell ref="A47:A62"/>
    <x:mergeCell ref="H47:H62"/>
    <x:mergeCell ref="A64:A67"/>
    <x:mergeCell ref="H64:H67"/>
    <x:mergeCell ref="A19:A23"/>
    <x:mergeCell ref="H19:H23"/>
    <x:mergeCell ref="A25:A28"/>
    <x:mergeCell ref="H25:H28"/>
    <x:mergeCell ref="A30:A40"/>
    <x:mergeCell ref="H30:H40"/>
    <x:mergeCell ref="A1:N1"/>
    <x:mergeCell ref="O1:S1"/>
    <x:mergeCell ref="A2:G2"/>
    <x:mergeCell ref="H2:N2"/>
    <x:mergeCell ref="A5:A17"/>
    <x:mergeCell ref="H5:H17"/>
  </x:mergeCells>
  <x:pageMargins left="0.7086111307144165" right="0.7086111307144165" top="0.39361110329627991" bottom="0.39361110329627991" header="0.31486111879348755" footer="0.31486111879348755"/>
  <x:pageSetup paperSize="9" scale="58" firstPageNumber="1" fitToWidth="1" fitToHeight="1" orientation="landscape" usePrinterDefaults="1" blackAndWhite="0" draft="0" useFirstPageNumber="0" horizontalDpi="600" verticalDpi="600" copies="1"/>
  <x:rowBreaks count="3" manualBreakCount="3">
    <x:brk id="43" min="0" max="1048575" man="1" pt="0"/>
    <x:brk id="86" min="0" max="1048575" man="1" pt="0"/>
    <x:brk id="129" min="0" max="1048575" man="1" pt="0"/>
  </x:rowBreaks>
</x:worksheet>
</file>

<file path=xl/worksheets/sheet6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1"/>
  <x:dimension ref="A1:S115"/>
  <x:sheetViews>
    <x:sheetView view="pageBreakPreview" topLeftCell="A1" zoomScaleNormal="100" zoomScaleSheetLayoutView="100" workbookViewId="0">
      <x:selection activeCell="G13" activeCellId="0" sqref="G13:G13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14"/>
      <x:c r="C2" s="214"/>
      <x:c r="D2" s="214"/>
      <x:c r="E2" s="214"/>
      <x:c r="F2" s="214"/>
      <x:c r="G2" s="214"/>
      <x:c r="H2" s="214"/>
      <x:c r="I2" s="214"/>
      <x:c r="J2" s="214"/>
      <x:c r="K2" s="214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16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'21년08월(세부내역)'!D4</x:f>
        <x:v>413299000</x:v>
      </x:c>
      <x:c r="F5" s="67">
        <x:f>'21년08월(세부내역)'!D18</x:f>
        <x:v>87661920</x:v>
      </x:c>
      <x:c r="G5" s="67">
        <x:f>'21년08월(세부내역)'!D24</x:f>
        <x:v>122299500</x:v>
      </x:c>
      <x:c r="H5" s="67">
        <x:f>'21년08월(세부내역)'!D29</x:f>
        <x:v>918000</x:v>
      </x:c>
      <x:c r="I5" s="67">
        <x:f>'21년08월(세부내역)'!D41</x:f>
        <x:v>3689220</x:v>
      </x:c>
      <x:c r="J5" s="75">
        <x:f t="shared" ref="J5:J12" si="0">+SUM(F5:I5)</x:f>
        <x:v>214568640</x:v>
      </x:c>
      <x:c r="K5" s="141">
        <x:f t="shared" ref="K5:K12" si="1">E5-J5</x:f>
        <x:v>198730360</x:v>
      </x:c>
      <x:c r="L5" s="204" t="s">
        <x:v>526</x:v>
      </x:c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140</x:v>
      </x:c>
      <x:c r="E6" s="74">
        <x:f>'21년08월(세부내역)'!K4</x:f>
        <x:v>42705000</x:v>
      </x:c>
      <x:c r="F6" s="59">
        <x:f>+'21년08월(세부내역)'!K18</x:f>
        <x:v>1361510</x:v>
      </x:c>
      <x:c r="G6" s="59">
        <x:f>'21년08월(세부내역)'!K24</x:f>
        <x:v>12329810</x:v>
      </x:c>
      <x:c r="H6" s="59">
        <x:f>'21년08월(세부내역)'!K29</x:f>
        <x:v>0</x:v>
      </x:c>
      <x:c r="I6" s="59">
        <x:f>'21년08월(세부내역)'!K41</x:f>
        <x:v>3081000</x:v>
      </x:c>
      <x:c r="J6" s="75">
        <x:f t="shared" si="0"/>
        <x:v>16772320</x:v>
      </x:c>
      <x:c r="K6" s="140">
        <x:f t="shared" si="1"/>
        <x:v>25932680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'21년08월(세부내역)'!K46</x:f>
        <x:v>138500000</x:v>
      </x:c>
      <x:c r="F7" s="59">
        <x:f>'21년08월(세부내역)'!K63</x:f>
        <x:v>15431625</x:v>
      </x:c>
      <x:c r="G7" s="59">
        <x:f>'21년08월(세부내역)'!K68</x:f>
        <x:v>44550000</x:v>
      </x:c>
      <x:c r="H7" s="59">
        <x:f>'21년08월(세부내역)'!K73</x:f>
        <x:v>1140000</x:v>
      </x:c>
      <x:c r="I7" s="59">
        <x:f>'21년08월(세부내역)'!K87</x:f>
        <x:v>12233472</x:v>
      </x:c>
      <x:c r="J7" s="75">
        <x:f t="shared" si="0"/>
        <x:v>73355097</x:v>
      </x:c>
      <x:c r="K7" s="141">
        <x:f t="shared" si="1"/>
        <x:v>65144903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95</x:v>
      </x:c>
      <x:c r="E8" s="74">
        <x:f>'21년08월(세부내역)'!D92</x:f>
        <x:v>85000000</x:v>
      </x:c>
      <x:c r="F8" s="59">
        <x:f>'21년08월(세부내역)'!D109</x:f>
        <x:v>58671770</x:v>
      </x:c>
      <x:c r="G8" s="59">
        <x:f>'21년08월(세부내역)'!D114</x:f>
        <x:v>31950000</x:v>
      </x:c>
      <x:c r="H8" s="59">
        <x:f>'21년08월(세부내역)'!D119</x:f>
        <x:v>3450000</x:v>
      </x:c>
      <x:c r="I8" s="59">
        <x:f>'21년08월(세부내역)'!D130</x:f>
        <x:v>1695430</x:v>
      </x:c>
      <x:c r="J8" s="75">
        <x:f t="shared" si="0"/>
        <x:v>95767200</x:v>
      </x:c>
      <x:c r="K8" s="141">
        <x:f t="shared" si="1"/>
        <x:v>-10767200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'21년08월(세부내역)'!K92</x:f>
        <x:v>30425000</x:v>
      </x:c>
      <x:c r="F9" s="59">
        <x:f>'21년08월(세부내역)'!K109</x:f>
        <x:v>16980554</x:v>
      </x:c>
      <x:c r="G9" s="59">
        <x:f>'21년08월(세부내역)'!K114</x:f>
        <x:v>19630000</x:v>
      </x:c>
      <x:c r="H9" s="59">
        <x:f>'21년08월(세부내역)'!K119</x:f>
        <x:v>0</x:v>
      </x:c>
      <x:c r="I9" s="59">
        <x:f>'21년08월(세부내역)'!K130</x:f>
        <x:v>995350</x:v>
      </x:c>
      <x:c r="J9" s="75">
        <x:f t="shared" si="0"/>
        <x:v>37605904</x:v>
      </x:c>
      <x:c r="K9" s="141">
        <x:f t="shared" si="1"/>
        <x:v>-7180904</x:v>
      </x:c>
      <x:c r="L9" s="204"/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'21년08월(세부내역)'!D135</x:f>
        <x:v>70920000</x:v>
      </x:c>
      <x:c r="F10" s="59">
        <x:f>'21년08월(세부내역)'!D152</x:f>
        <x:v>7865000</x:v>
      </x:c>
      <x:c r="G10" s="59">
        <x:f>'21년08월(세부내역)'!D157</x:f>
        <x:v>14935000</x:v>
      </x:c>
      <x:c r="H10" s="59">
        <x:f>'21년08월(세부내역)'!D162</x:f>
        <x:v>0</x:v>
      </x:c>
      <x:c r="I10" s="59">
        <x:f>'21년08월(세부내역)'!D173</x:f>
        <x:v>3740</x:v>
      </x:c>
      <x:c r="J10" s="75">
        <x:f t="shared" si="0"/>
        <x:v>22803740</x:v>
      </x:c>
      <x:c r="K10" s="141">
        <x:f t="shared" si="1"/>
        <x:v>48116260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'21년08월(세부내역)'!D46</x:f>
        <x:v>96719868</x:v>
      </x:c>
      <x:c r="F11" s="59">
        <x:f>+'21년08월(세부내역)'!D63</x:f>
        <x:v>53345828</x:v>
      </x:c>
      <x:c r="G11" s="59">
        <x:f>'21년08월(세부내역)'!D68</x:f>
        <x:v>66546000</x:v>
      </x:c>
      <x:c r="H11" s="59">
        <x:f>'21년08월(세부내역)'!D73</x:f>
        <x:v>2612000</x:v>
      </x:c>
      <x:c r="I11" s="59">
        <x:f>'21년08월(세부내역)'!D87</x:f>
        <x:v>1222100</x:v>
      </x:c>
      <x:c r="J11" s="75">
        <x:f t="shared" si="0"/>
        <x:v>123725928</x:v>
      </x:c>
      <x:c r="K11" s="141">
        <x:f>E11-J11</x:f>
        <x:v>-27006060</x:v>
      </x:c>
      <x:c r="L11" s="205" t="s">
        <x:v>1717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'21년08월(세부내역)'!K135</x:f>
        <x:v>0</x:v>
      </x:c>
      <x:c r="F12" s="59">
        <x:f>'21년08월(세부내역)'!K152</x:f>
        <x:v>9392150</x:v>
      </x:c>
      <x:c r="G12" s="59">
        <x:f>+'21년08월(세부내역)'!K157</x:f>
        <x:v>15620000</x:v>
      </x:c>
      <x:c r="H12" s="59">
        <x:f>+'21년08월(세부내역)'!K162</x:f>
        <x:v>0</x:v>
      </x:c>
      <x:c r="I12" s="59">
        <x:f>+'21년08월(세부내역)'!K173</x:f>
        <x:v>8106965</x:v>
      </x:c>
      <x:c r="J12" s="75">
        <x:f t="shared" si="0"/>
        <x:v>33119115</x:v>
      </x:c>
      <x:c r="K12" s="141">
        <x:f t="shared" si="1"/>
        <x:v>-33119115</x:v>
      </x:c>
      <x:c r="L12" s="204"/>
    </x:row>
    <x:row r="13" spans="1:12" ht="30" customHeight="1">
      <x:c r="A13" s="64"/>
      <x:c r="B13" s="64" t="s">
        <x:v>1690</x:v>
      </x:c>
      <x:c r="C13" s="64"/>
      <x:c r="D13" s="64"/>
      <x:c r="E13" s="68">
        <x:f t="shared" ref="E13:K13" si="2">SUM(E5:E12)</x:f>
        <x:v>877568868</x:v>
      </x:c>
      <x:c r="F13" s="66">
        <x:f t="shared" si="2"/>
        <x:v>250710357</x:v>
      </x:c>
      <x:c r="G13" s="66">
        <x:f t="shared" si="2"/>
        <x:v>327860310</x:v>
      </x:c>
      <x:c r="H13" s="66">
        <x:f t="shared" si="2"/>
        <x:v>8120000</x:v>
      </x:c>
      <x:c r="I13" s="66">
        <x:f t="shared" si="2"/>
        <x:v>31027277</x:v>
      </x:c>
      <x:c r="J13" s="69">
        <x:f t="shared" si="2"/>
        <x:v>617717944</x:v>
      </x:c>
      <x:c r="K13" s="142">
        <x:f t="shared" si="2"/>
        <x:v>259850924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6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2"/>
  <x:dimension ref="A1:V191"/>
  <x:sheetViews>
    <x:sheetView view="pageBreakPreview" topLeftCell="A142" zoomScaleNormal="100" zoomScaleSheetLayoutView="100" workbookViewId="0">
      <x:selection activeCell="K83" activeCellId="0" sqref="K83:K83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1809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16" t="s">
        <x:v>144</x:v>
      </x:c>
      <x:c r="C3" s="216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16" t="s">
        <x:v>144</x:v>
      </x:c>
      <x:c r="J3" s="216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f>387730000+25569000</x:f>
        <x:v>413299000</x:v>
      </x:c>
      <x:c r="E4" s="39">
        <x:f>12270000+2556900</x:f>
        <x:v>14826900</x:v>
      </x:c>
      <x:c r="F4" s="40">
        <x:f>+D4+E4</x:f>
        <x:v>428125900</x:v>
      </x:c>
      <x:c r="G4" s="42" t="s">
        <x:v>1490</x:v>
      </x:c>
      <x:c r="H4" s="215" t="s">
        <x:v>151</x:v>
      </x:c>
      <x:c r="I4" s="38" t="s">
        <x:v>1679</x:v>
      </x:c>
      <x:c r="J4" s="38" t="s">
        <x:v>1030</x:v>
      </x:c>
      <x:c r="K4" s="39">
        <x:v>42705000</x:v>
      </x:c>
      <x:c r="L4" s="39">
        <x:v>95000</x:v>
      </x:c>
      <x:c r="M4" s="40">
        <x:f>+K4+L4</x:f>
        <x:v>42800000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375</x:v>
      </x:c>
      <x:c r="D5" s="212">
        <x:v>44079490</x:v>
      </x:c>
      <x:c r="E5" s="212">
        <x:f t="shared" ref="E5:E12" si="0">+INT(D5*0.1)</x:f>
        <x:v>4407949</x:v>
      </x:c>
      <x:c r="F5" s="213">
        <x:f>+D5+E5</x:f>
        <x:v>48487439</x:v>
      </x:c>
      <x:c r="G5" s="169"/>
      <x:c r="H5" s="298" t="s">
        <x:v>148</x:v>
      </x:c>
      <x:c r="I5" s="19" t="s">
        <x:v>838</x:v>
      </x:c>
      <x:c r="J5" s="19"/>
      <x:c r="K5" s="20"/>
      <x:c r="L5" s="20">
        <x:f t="shared" ref="L5:L12" si="1">+INT(K5*0.1)</x:f>
        <x:v>0</x:v>
      </x:c>
      <x:c r="M5" s="21">
        <x:f t="shared" ref="M5:M23" si="2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521</x:v>
      </x:c>
      <x:c r="D6" s="163">
        <x:v>7942400</x:v>
      </x:c>
      <x:c r="E6" s="44">
        <x:f t="shared" si="0"/>
        <x:v>794240</x:v>
      </x:c>
      <x:c r="F6" s="164">
        <x:f>+D6+E6</x:f>
        <x:v>8736640</x:v>
      </x:c>
      <x:c r="G6" s="203"/>
      <x:c r="H6" s="299"/>
      <x:c r="I6" s="3" t="s">
        <x:v>867</x:v>
      </x:c>
      <x:c r="J6" s="3"/>
      <x:c r="K6" s="4"/>
      <x:c r="L6" s="4">
        <x:f t="shared" si="1"/>
        <x:v>0</x:v>
      </x:c>
      <x:c r="M6" s="5">
        <x:f t="shared" si="2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742</x:v>
      </x:c>
      <x:c r="D7" s="4">
        <x:v>1151100</x:v>
      </x:c>
      <x:c r="E7" s="4">
        <x:f t="shared" si="0"/>
        <x:v>115110</x:v>
      </x:c>
      <x:c r="F7" s="5">
        <x:f>+D7+E7</x:f>
        <x:v>1266210</x:v>
      </x:c>
      <x:c r="G7" s="180"/>
      <x:c r="H7" s="299"/>
      <x:c r="I7" s="3" t="s">
        <x:v>854</x:v>
      </x:c>
      <x:c r="J7" s="3" t="s">
        <x:v>513</x:v>
      </x:c>
      <x:c r="K7" s="4">
        <x:v>179110</x:v>
      </x:c>
      <x:c r="L7" s="4">
        <x:f t="shared" si="1"/>
        <x:v>17911</x:v>
      </x:c>
      <x:c r="M7" s="5">
        <x:f t="shared" si="2"/>
        <x:v>197021</x:v>
      </x:c>
      <x:c r="N7" s="6"/>
    </x:row>
    <x:row r="8" spans="1:14" ht="20.100000000000001" customHeight="1">
      <x:c r="A8" s="299"/>
      <x:c r="B8" s="3" t="s">
        <x:v>907</x:v>
      </x:c>
      <x:c r="C8" s="162"/>
      <x:c r="D8" s="163"/>
      <x:c r="E8" s="4">
        <x:f t="shared" si="0"/>
        <x:v>0</x:v>
      </x:c>
      <x:c r="F8" s="45">
        <x:f t="shared" ref="F8:F15" si="3">+D8+E8</x:f>
        <x:v>0</x:v>
      </x:c>
      <x:c r="G8" s="179"/>
      <x:c r="H8" s="299"/>
      <x:c r="I8" s="3" t="s">
        <x:v>1348</x:v>
      </x:c>
      <x:c r="J8" s="3"/>
      <x:c r="K8" s="4"/>
      <x:c r="L8" s="4">
        <x:f t="shared" si="1"/>
        <x:v>0</x:v>
      </x:c>
      <x:c r="M8" s="5">
        <x:f t="shared" si="2"/>
        <x:v>0</x:v>
      </x:c>
      <x:c r="N8" s="6"/>
    </x:row>
    <x:row r="9" spans="1:14" ht="20.100000000000001" customHeight="1">
      <x:c r="A9" s="299"/>
      <x:c r="B9" s="3" t="s">
        <x:v>1119</x:v>
      </x:c>
      <x:c r="C9" s="162" t="s">
        <x:v>718</x:v>
      </x:c>
      <x:c r="D9" s="163">
        <x:v>5970000</x:v>
      </x:c>
      <x:c r="E9" s="4">
        <x:f t="shared" si="0"/>
        <x:v>597000</x:v>
      </x:c>
      <x:c r="F9" s="45">
        <x:f t="shared" si="3"/>
        <x:v>6567000</x:v>
      </x:c>
      <x:c r="G9" s="37"/>
      <x:c r="H9" s="299"/>
      <x:c r="I9" s="3" t="s">
        <x:v>846</x:v>
      </x:c>
      <x:c r="J9" s="3" t="s">
        <x:v>1484</x:v>
      </x:c>
      <x:c r="K9" s="4">
        <x:v>182400</x:v>
      </x:c>
      <x:c r="L9" s="4">
        <x:f>+INT(K9*0.1)-2</x:f>
        <x:v>18238</x:v>
      </x:c>
      <x:c r="M9" s="5">
        <x:f t="shared" si="2"/>
        <x:v>200638</x:v>
      </x:c>
      <x:c r="N9" s="6"/>
    </x:row>
    <x:row r="10" spans="1:14" ht="20.100000000000001" customHeight="1">
      <x:c r="A10" s="299"/>
      <x:c r="B10" s="3" t="s">
        <x:v>846</x:v>
      </x:c>
      <x:c r="C10" s="3" t="s">
        <x:v>686</x:v>
      </x:c>
      <x:c r="D10" s="4">
        <x:v>1839000</x:v>
      </x:c>
      <x:c r="E10" s="4">
        <x:f t="shared" si="0"/>
        <x:v>183900</x:v>
      </x:c>
      <x:c r="F10" s="5">
        <x:f t="shared" si="3"/>
        <x:v>2022900</x:v>
      </x:c>
      <x:c r="G10" s="37"/>
      <x:c r="H10" s="299"/>
      <x:c r="I10" s="3" t="s">
        <x:v>967</x:v>
      </x:c>
      <x:c r="J10" s="3"/>
      <x:c r="K10" s="4"/>
      <x:c r="L10" s="4">
        <x:f t="shared" si="1"/>
        <x:v>0</x:v>
      </x:c>
      <x:c r="M10" s="5">
        <x:f t="shared" si="2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514</x:v>
      </x:c>
      <x:c r="D11" s="4">
        <x:v>15979930</x:v>
      </x:c>
      <x:c r="E11" s="4">
        <x:f t="shared" si="0"/>
        <x:v>1597993</x:v>
      </x:c>
      <x:c r="F11" s="5">
        <x:f t="shared" si="3"/>
        <x:v>17577923</x:v>
      </x:c>
      <x:c r="G11" s="6"/>
      <x:c r="H11" s="299"/>
      <x:c r="I11" s="3" t="s">
        <x:v>1016</x:v>
      </x:c>
      <x:c r="J11" s="3" t="s">
        <x:v>1231</x:v>
      </x:c>
      <x:c r="K11" s="4">
        <x:v>1000000</x:v>
      </x:c>
      <x:c r="L11" s="4">
        <x:f t="shared" si="1"/>
        <x:v>100000</x:v>
      </x:c>
      <x:c r="M11" s="5">
        <x:f t="shared" si="2"/>
        <x:v>1100000</x:v>
      </x:c>
      <x:c r="N11" s="217">
        <x:v>1</x:v>
      </x:c>
    </x:row>
    <x:row r="12" spans="1:14" ht="20.100000000000001" customHeight="1">
      <x:c r="A12" s="299"/>
      <x:c r="B12" s="162" t="s">
        <x:v>1449</x:v>
      </x:c>
      <x:c r="C12" s="162"/>
      <x:c r="D12" s="163"/>
      <x:c r="E12" s="4">
        <x:f t="shared" si="0"/>
        <x:v>0</x:v>
      </x:c>
      <x:c r="F12" s="45">
        <x:f t="shared" si="3"/>
        <x:v>0</x:v>
      </x:c>
      <x:c r="G12" s="37"/>
      <x:c r="H12" s="299"/>
      <x:c r="I12" s="3"/>
      <x:c r="J12" s="3"/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 t="s">
        <x:v>938</x:v>
      </x:c>
      <x:c r="C13" s="3" t="s">
        <x:v>1459</x:v>
      </x:c>
      <x:c r="D13" s="4">
        <x:v>575000</x:v>
      </x:c>
      <x:c r="E13" s="4">
        <x:f>+D13*0.1</x:f>
        <x:v>57500</x:v>
      </x:c>
      <x:c r="F13" s="45">
        <x:f t="shared" si="3"/>
        <x:v>632500</x:v>
      </x:c>
      <x:c r="G13" s="37"/>
      <x:c r="H13" s="299"/>
      <x:c r="I13" s="3"/>
      <x:c r="J13" s="3"/>
      <x:c r="K13" s="4"/>
      <x:c r="L13" s="4"/>
      <x:c r="M13" s="5">
        <x:f t="shared" si="2"/>
        <x:v>0</x:v>
      </x:c>
      <x:c r="N13" s="6"/>
    </x:row>
    <x:row r="14" spans="1:14" ht="20.100000000000001" customHeight="1">
      <x:c r="A14" s="299"/>
      <x:c r="B14" s="162" t="s">
        <x:v>1378</x:v>
      </x:c>
      <x:c r="C14" s="162" t="s">
        <x:v>1472</x:v>
      </x:c>
      <x:c r="D14" s="163">
        <x:v>525000</x:v>
      </x:c>
      <x:c r="E14" s="4">
        <x:f>+INT(D14*0.1)</x:f>
        <x:v>52500</x:v>
      </x:c>
      <x:c r="F14" s="45">
        <x:f t="shared" si="3"/>
        <x:v>577500</x:v>
      </x:c>
      <x:c r="G14" s="6"/>
      <x:c r="H14" s="299"/>
      <x:c r="I14" s="3"/>
      <x:c r="J14" s="3"/>
      <x:c r="K14" s="4"/>
      <x:c r="L14" s="4"/>
      <x:c r="M14" s="5">
        <x:f t="shared" si="2"/>
        <x:v>0</x:v>
      </x:c>
      <x:c r="N14" s="6"/>
    </x:row>
    <x:row r="15" spans="1:14" ht="20.100000000000001" customHeight="1">
      <x:c r="A15" s="299"/>
      <x:c r="B15" s="3" t="s">
        <x:v>976</x:v>
      </x:c>
      <x:c r="C15" s="3"/>
      <x:c r="D15" s="4"/>
      <x:c r="E15" s="4">
        <x:f>+D15*0.1</x:f>
        <x:v>0</x:v>
      </x:c>
      <x:c r="F15" s="45">
        <x:f t="shared" si="3"/>
        <x:v>0</x:v>
      </x:c>
      <x:c r="G15" s="37"/>
      <x:c r="H15" s="299"/>
      <x:c r="I15" s="3"/>
      <x:c r="J15" s="3"/>
      <x:c r="K15" s="4"/>
      <x:c r="L15" s="4"/>
      <x:c r="M15" s="5">
        <x:f t="shared" si="2"/>
        <x:v>0</x:v>
      </x:c>
      <x:c r="N15" s="6"/>
    </x:row>
    <x:row r="16" spans="1:14" ht="20.100000000000001" customHeight="1">
      <x:c r="A16" s="299"/>
      <x:c r="B16" s="154" t="s">
        <x:v>1458</x:v>
      </x:c>
      <x:c r="C16" s="155" t="s">
        <x:v>1112</x:v>
      </x:c>
      <x:c r="D16" s="156">
        <x:v>9600000</x:v>
      </x:c>
      <x:c r="E16" s="156">
        <x:f>+D16*0.1</x:f>
        <x:v>960000</x:v>
      </x:c>
      <x:c r="F16" s="157">
        <x:f>+D16+E16</x:f>
        <x:v>10560000</x:v>
      </x:c>
      <x:c r="G16" s="158" t="s">
        <x:v>1480</x:v>
      </x:c>
      <x:c r="H16" s="299"/>
      <x:c r="I16" s="3"/>
      <x:c r="J16" s="3"/>
      <x:c r="K16" s="4"/>
      <x:c r="L16" s="4"/>
      <x:c r="M16" s="5">
        <x:f t="shared" si="2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>
        <x:f>+D17*0.1</x:f>
        <x:v>0</x:v>
      </x:c>
      <x:c r="F17" s="45">
        <x:f>+D17+E17</x:f>
        <x:v>0</x:v>
      </x:c>
      <x:c r="G17" s="6"/>
      <x:c r="H17" s="300"/>
      <x:c r="I17" s="3"/>
      <x:c r="J17" s="3"/>
      <x:c r="K17" s="4"/>
      <x:c r="L17" s="4"/>
      <x:c r="M17" s="5">
        <x:f t="shared" si="2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SUM(D5:D17)</x:f>
        <x:v>87661920</x:v>
      </x:c>
      <x:c r="E18" s="9">
        <x:f>SUM(E5:E17)</x:f>
        <x:v>8766192</x:v>
      </x:c>
      <x:c r="F18" s="10">
        <x:f>SUM(F5:F17)</x:f>
        <x:v>96428112</x:v>
      </x:c>
      <x:c r="G18" s="11"/>
      <x:c r="H18" s="7"/>
      <x:c r="I18" s="8"/>
      <x:c r="J18" s="8"/>
      <x:c r="K18" s="9">
        <x:f>SUM(K5:K17)</x:f>
        <x:v>1361510</x:v>
      </x:c>
      <x:c r="L18" s="9">
        <x:f>SUM(L5:L17)</x:f>
        <x:v>136149</x:v>
      </x:c>
      <x:c r="M18" s="10">
        <x:f>SUM(M5:M17)</x:f>
        <x:v>1497659</x:v>
      </x:c>
      <x:c r="N18" s="11"/>
    </x:row>
    <x:row r="19" spans="1:14" ht="20.100000000000001" customHeight="1">
      <x:c r="A19" s="301" t="s">
        <x:v>153</x:v>
      </x:c>
      <x:c r="B19" s="3" t="s">
        <x:v>1677</x:v>
      </x:c>
      <x:c r="C19" s="3" t="s">
        <x:v>1079</x:v>
      </x:c>
      <x:c r="D19" s="44">
        <x:v>25440000</x:v>
      </x:c>
      <x:c r="E19" s="44"/>
      <x:c r="F19" s="45">
        <x:f>+D19+E19</x:f>
        <x:v>25440000</x:v>
      </x:c>
      <x:c r="G19" s="37"/>
      <x:c r="H19" s="301" t="s">
        <x:v>153</x:v>
      </x:c>
      <x:c r="I19" s="3" t="s">
        <x:v>1677</x:v>
      </x:c>
      <x:c r="J19" s="3" t="s">
        <x:v>1494</x:v>
      </x:c>
      <x:c r="K19" s="4">
        <x:v>5350000</x:v>
      </x:c>
      <x:c r="L19" s="4"/>
      <x:c r="M19" s="5">
        <x:f t="shared" si="2"/>
        <x:v>5350000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1368</x:v>
      </x:c>
      <x:c r="D20" s="4">
        <x:v>25674500</x:v>
      </x:c>
      <x:c r="E20" s="4">
        <x:v>938450</x:v>
      </x:c>
      <x:c r="F20" s="5">
        <x:f>+D20+E20</x:f>
        <x:v>26612950</x:v>
      </x:c>
      <x:c r="G20" s="37"/>
      <x:c r="H20" s="299"/>
      <x:c r="I20" s="3" t="s">
        <x:v>1677</x:v>
      </x:c>
      <x:c r="J20" s="3" t="s">
        <x:v>518</x:v>
      </x:c>
      <x:c r="K20" s="4">
        <x:v>6979810</x:v>
      </x:c>
      <x:c r="L20" s="4"/>
      <x:c r="M20" s="5">
        <x:f t="shared" si="2"/>
        <x:v>6979810</x:v>
      </x:c>
      <x:c r="N20" s="6"/>
    </x:row>
    <x:row r="21" spans="1:22" s="2" customFormat="1" ht="20.100000000000001" customHeight="1">
      <x:c r="A21" s="299"/>
      <x:c r="B21" s="3" t="s">
        <x:v>1241</x:v>
      </x:c>
      <x:c r="C21" s="3" t="s">
        <x:v>1389</x:v>
      </x:c>
      <x:c r="D21" s="4">
        <x:v>10385000</x:v>
      </x:c>
      <x:c r="E21" s="4"/>
      <x:c r="F21" s="5">
        <x:f>+D21+E21</x:f>
        <x:v>10385000</x:v>
      </x:c>
      <x:c r="G21" s="37"/>
      <x:c r="H21" s="299"/>
      <x:c r="I21" s="3"/>
      <x:c r="J21" s="3"/>
      <x:c r="K21" s="4"/>
      <x:c r="L21" s="4"/>
      <x:c r="M21" s="5">
        <x:f t="shared" si="2"/>
        <x:v>0</x:v>
      </x:c>
      <x:c r="N21" s="6"/>
      <x:c r="V21" s="1"/>
    </x:row>
    <x:row r="22" spans="1:22" s="2" customFormat="1" ht="20.100000000000001" customHeight="1">
      <x:c r="A22" s="299"/>
      <x:c r="B22" s="3" t="s">
        <x:v>1241</x:v>
      </x:c>
      <x:c r="C22" s="3" t="s">
        <x:v>1369</x:v>
      </x:c>
      <x:c r="D22" s="4">
        <x:v>57090000</x:v>
      </x:c>
      <x:c r="E22" s="4">
        <x:v>1120000</x:v>
      </x:c>
      <x:c r="F22" s="5">
        <x:f>+D22+E22</x:f>
        <x:v>58210000</x:v>
      </x:c>
      <x:c r="G22" s="37"/>
      <x:c r="H22" s="299"/>
      <x:c r="I22" s="3"/>
      <x:c r="J22" s="3"/>
      <x:c r="K22" s="4"/>
      <x:c r="L22" s="4"/>
      <x:c r="M22" s="5"/>
      <x:c r="N22" s="6"/>
      <x:c r="V22" s="1"/>
    </x:row>
    <x:row r="23" spans="1:22" s="2" customFormat="1" ht="20.100000000000001" customHeight="1">
      <x:c r="A23" s="300"/>
      <x:c r="B23" s="3" t="s">
        <x:v>1241</x:v>
      </x:c>
      <x:c r="C23" s="3" t="s">
        <x:v>168</x:v>
      </x:c>
      <x:c r="D23" s="4">
        <x:v>3710000</x:v>
      </x:c>
      <x:c r="E23" s="4"/>
      <x:c r="F23" s="5">
        <x:f>+D23+E23</x:f>
        <x:v>3710000</x:v>
      </x:c>
      <x:c r="G23" s="6"/>
      <x:c r="H23" s="300"/>
      <x:c r="I23" s="3"/>
      <x:c r="J23" s="3"/>
      <x:c r="K23" s="4"/>
      <x:c r="L23" s="4"/>
      <x:c r="M23" s="5">
        <x:f t="shared" si="2"/>
        <x:v>0</x:v>
      </x:c>
      <x:c r="N23" s="6"/>
      <x:c r="V23" s="1"/>
    </x:row>
    <x:row r="24" spans="1:22" s="2" customFormat="1" ht="20.100000000000001" customHeight="1">
      <x:c r="A24" s="7" t="s">
        <x:v>155</x:v>
      </x:c>
      <x:c r="B24" s="8"/>
      <x:c r="C24" s="8"/>
      <x:c r="D24" s="9">
        <x:f>SUM(D19:D23)</x:f>
        <x:v>122299500</x:v>
      </x:c>
      <x:c r="E24" s="9">
        <x:f>SUM(E19:E23)</x:f>
        <x:v>2058450</x:v>
      </x:c>
      <x:c r="F24" s="10">
        <x:f>SUM(F19:F23)</x:f>
        <x:v>124357950</x:v>
      </x:c>
      <x:c r="G24" s="11"/>
      <x:c r="H24" s="7"/>
      <x:c r="I24" s="8"/>
      <x:c r="J24" s="8"/>
      <x:c r="K24" s="9">
        <x:f>SUM(K19:K23)</x:f>
        <x:v>12329810</x:v>
      </x:c>
      <x:c r="L24" s="9">
        <x:f>SUM(L19:L23)</x:f>
        <x:v>0</x:v>
      </x:c>
      <x:c r="M24" s="10">
        <x:f>SUM(M19:M23)</x:f>
        <x:v>12329810</x:v>
      </x:c>
      <x:c r="N24" s="11"/>
      <x:c r="V24" s="1"/>
    </x:row>
    <x:row r="25" spans="1:22" s="2" customFormat="1" ht="20.100000000000001" customHeight="1">
      <x:c r="A25" s="301" t="s">
        <x:v>187</x:v>
      </x:c>
      <x:c r="B25" s="3" t="s">
        <x:v>1321</x:v>
      </x:c>
      <x:c r="C25" s="3" t="s">
        <x:v>948</x:v>
      </x:c>
      <x:c r="D25" s="4">
        <x:v>360000</x:v>
      </x:c>
      <x:c r="E25" s="4">
        <x:f>+D25*0.1</x:f>
        <x:v>36000</x:v>
      </x:c>
      <x:c r="F25" s="5">
        <x:f>+D25+E25</x:f>
        <x:v>396000</x:v>
      </x:c>
      <x:c r="G25" s="6"/>
      <x:c r="H25" s="301" t="s">
        <x:v>187</x:v>
      </x:c>
      <x:c r="I25" s="3"/>
      <x:c r="J25" s="3"/>
      <x:c r="K25" s="4"/>
      <x:c r="L25" s="4"/>
      <x:c r="M25" s="5">
        <x:f>+K25+L25</x:f>
        <x:v>0</x:v>
      </x:c>
      <x:c r="N25" s="6"/>
      <x:c r="V25" s="1"/>
    </x:row>
    <x:row r="26" spans="1:22" s="2" customFormat="1" ht="20.100000000000001" customHeight="1">
      <x:c r="A26" s="299"/>
      <x:c r="B26" s="3" t="s">
        <x:v>436</x:v>
      </x:c>
      <x:c r="C26" s="3" t="s">
        <x:v>1390</x:v>
      </x:c>
      <x:c r="D26" s="4">
        <x:v>558000</x:v>
      </x:c>
      <x:c r="E26" s="4">
        <x:f>+D26*0.1</x:f>
        <x:v>55800</x:v>
      </x:c>
      <x:c r="F26" s="5">
        <x:f>+D26+E26</x:f>
        <x:v>613800</x:v>
      </x:c>
      <x:c r="G26" s="6"/>
      <x:c r="H26" s="299"/>
      <x:c r="I26" s="3"/>
      <x:c r="J26" s="3"/>
      <x:c r="K26" s="4"/>
      <x:c r="L26" s="4"/>
      <x:c r="M26" s="5">
        <x:f>+K26+L26</x:f>
        <x:v>0</x:v>
      </x:c>
      <x:c r="N26" s="6"/>
      <x:c r="V26" s="1"/>
    </x:row>
    <x:row r="27" spans="1:22" s="2" customFormat="1" ht="20.100000000000001" customHeight="1">
      <x:c r="A27" s="299"/>
      <x:c r="B27" s="3" t="s">
        <x:v>1387</x:v>
      </x:c>
      <x:c r="C27" s="3" t="s">
        <x:v>157</x:v>
      </x:c>
      <x:c r="D27" s="4"/>
      <x:c r="E27" s="4"/>
      <x:c r="F27" s="5">
        <x:f>+D27+E27</x:f>
        <x:v>0</x:v>
      </x:c>
      <x:c r="G27" s="6"/>
      <x:c r="H27" s="299"/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300"/>
      <x:c r="B28" s="3"/>
      <x:c r="C28" s="3"/>
      <x:c r="D28" s="4"/>
      <x:c r="E28" s="4"/>
      <x:c r="F28" s="5">
        <x:f>+D28+E28</x:f>
        <x:v>0</x:v>
      </x:c>
      <x:c r="G28" s="6"/>
      <x:c r="H28" s="300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7" t="s">
        <x:v>155</x:v>
      </x:c>
      <x:c r="B29" s="8"/>
      <x:c r="C29" s="8"/>
      <x:c r="D29" s="9">
        <x:f>SUM(D25:D28)</x:f>
        <x:v>918000</x:v>
      </x:c>
      <x:c r="E29" s="9">
        <x:f>SUM(E25:E28)</x:f>
        <x:v>91800</x:v>
      </x:c>
      <x:c r="F29" s="10">
        <x:f>SUM(F25:F28)</x:f>
        <x:v>1009800</x:v>
      </x:c>
      <x:c r="G29" s="11"/>
      <x:c r="H29" s="7"/>
      <x:c r="I29" s="8"/>
      <x:c r="J29" s="8"/>
      <x:c r="K29" s="9">
        <x:f>SUM(K25:K28)</x:f>
        <x:v>0</x:v>
      </x:c>
      <x:c r="L29" s="9">
        <x:f>SUM(L25:L28)</x:f>
        <x:v>0</x:v>
      </x:c>
      <x:c r="M29" s="10">
        <x:f>SUM(M25:M28)</x:f>
        <x:v>0</x:v>
      </x:c>
      <x:c r="N29" s="11"/>
      <x:c r="V29" s="1"/>
    </x:row>
    <x:row r="30" spans="1:22" s="2" customFormat="1" ht="20.100000000000001" customHeight="1">
      <x:c r="A30" s="301" t="s">
        <x:v>149</x:v>
      </x:c>
      <x:c r="B30" s="3" t="s">
        <x:v>185</x:v>
      </x:c>
      <x:c r="C30" s="3" t="s">
        <x:v>149</x:v>
      </x:c>
      <x:c r="D30" s="44">
        <x:v>1462310</x:v>
      </x:c>
      <x:c r="E30" s="44"/>
      <x:c r="F30" s="5">
        <x:f>+D30+E30</x:f>
        <x:v>1462310</x:v>
      </x:c>
      <x:c r="G30" s="6"/>
      <x:c r="H30" s="301" t="s">
        <x:v>149</x:v>
      </x:c>
      <x:c r="I30" s="3" t="s">
        <x:v>169</x:v>
      </x:c>
      <x:c r="J30" s="3" t="s">
        <x:v>149</x:v>
      </x:c>
      <x:c r="K30" s="4"/>
      <x:c r="L30" s="4"/>
      <x:c r="M30" s="5">
        <x:f t="shared" ref="M30:M38" si="4">+K30+L30</x:f>
        <x:v>0</x:v>
      </x:c>
      <x:c r="N30" s="6"/>
      <x:c r="V30" s="1"/>
    </x:row>
    <x:row r="31" spans="1:22" s="2" customFormat="1" ht="20.100000000000001" customHeight="1">
      <x:c r="A31" s="299"/>
      <x:c r="B31" s="3" t="s">
        <x:v>1274</x:v>
      </x:c>
      <x:c r="C31" s="3" t="s">
        <x:v>962</x:v>
      </x:c>
      <x:c r="D31" s="4">
        <x:v>430909</x:v>
      </x:c>
      <x:c r="E31" s="4">
        <x:f>+D31*0.1</x:f>
        <x:v>43090.900000000001</x:v>
      </x:c>
      <x:c r="F31" s="5">
        <x:f>+D31+E31</x:f>
        <x:v>473999.90000000002</x:v>
      </x:c>
      <x:c r="G31" s="6"/>
      <x:c r="H31" s="299"/>
      <x:c r="I31" s="3" t="s">
        <x:v>1205</x:v>
      </x:c>
      <x:c r="J31" s="3" t="s">
        <x:v>28</x:v>
      </x:c>
      <x:c r="K31" s="4">
        <x:v>180000</x:v>
      </x:c>
      <x:c r="L31" s="4">
        <x:f>+K31*0.1</x:f>
        <x:v>18000</x:v>
      </x:c>
      <x:c r="M31" s="5">
        <x:f t="shared" si="4"/>
        <x:v>198000</x:v>
      </x:c>
      <x:c r="N31" s="6"/>
      <x:c r="V31" s="1"/>
    </x:row>
    <x:row r="32" spans="1:22" s="2" customFormat="1" ht="20.100000000000001" customHeight="1">
      <x:c r="A32" s="299"/>
      <x:c r="B32" s="3" t="s">
        <x:v>1313</x:v>
      </x:c>
      <x:c r="C32" s="3" t="s">
        <x:v>825</x:v>
      </x:c>
      <x:c r="D32" s="4">
        <x:v>192500</x:v>
      </x:c>
      <x:c r="E32" s="4">
        <x:f>+D32*0.1</x:f>
        <x:v>19250</x:v>
      </x:c>
      <x:c r="F32" s="5">
        <x:f t="shared" ref="F32:F40" si="5">+D32+E32</x:f>
        <x:v>211750</x:v>
      </x:c>
      <x:c r="G32" s="6"/>
      <x:c r="H32" s="299"/>
      <x:c r="I32" s="3" t="s">
        <x:v>1680</x:v>
      </x:c>
      <x:c r="J32" s="3" t="s">
        <x:v>1695</x:v>
      </x:c>
      <x:c r="K32" s="4">
        <x:v>80000</x:v>
      </x:c>
      <x:c r="L32" s="4">
        <x:f>+K32*0.1</x:f>
        <x:v>8000</x:v>
      </x:c>
      <x:c r="M32" s="5">
        <x:f t="shared" si="4"/>
        <x:v>88000</x:v>
      </x:c>
      <x:c r="N32" s="6" t="s">
        <x:v>266</x:v>
      </x:c>
      <x:c r="V32" s="1"/>
    </x:row>
    <x:row r="33" spans="1:22" s="2" customFormat="1" ht="20.100000000000001" customHeight="1">
      <x:c r="A33" s="299"/>
      <x:c r="B33" s="3" t="s">
        <x:v>994</x:v>
      </x:c>
      <x:c r="C33" s="3" t="s">
        <x:v>8</x:v>
      </x:c>
      <x:c r="D33" s="4">
        <x:v>420001</x:v>
      </x:c>
      <x:c r="E33" s="4">
        <x:v>41999</x:v>
      </x:c>
      <x:c r="F33" s="5">
        <x:f t="shared" ref="F33:F38" si="6">+D33+E33</x:f>
        <x:v>462000</x:v>
      </x:c>
      <x:c r="G33" s="6"/>
      <x:c r="H33" s="299"/>
      <x:c r="I33" s="3" t="s">
        <x:v>1120</x:v>
      </x:c>
      <x:c r="J33" s="3" t="s">
        <x:v>167</x:v>
      </x:c>
      <x:c r="K33" s="4"/>
      <x:c r="L33" s="4">
        <x:f>+K33*0.1</x:f>
        <x:v>0</x:v>
      </x:c>
      <x:c r="M33" s="5">
        <x:f t="shared" si="4"/>
        <x:v>0</x:v>
      </x:c>
      <x:c r="N33" s="6"/>
      <x:c r="V33" s="1"/>
    </x:row>
    <x:row r="34" spans="1:22" s="2" customFormat="1" ht="20.100000000000001" customHeight="1">
      <x:c r="A34" s="299"/>
      <x:c r="B34" s="3" t="s">
        <x:v>1680</x:v>
      </x:c>
      <x:c r="C34" s="3" t="s">
        <x:v>1695</x:v>
      </x:c>
      <x:c r="D34" s="4">
        <x:v>100000</x:v>
      </x:c>
      <x:c r="E34" s="4">
        <x:f>+D34*0.1</x:f>
        <x:v>10000</x:v>
      </x:c>
      <x:c r="F34" s="5">
        <x:f t="shared" si="6"/>
        <x:v>110000</x:v>
      </x:c>
      <x:c r="G34" s="6"/>
      <x:c r="H34" s="299"/>
      <x:c r="I34" s="3" t="s">
        <x:v>247</x:v>
      </x:c>
      <x:c r="J34" s="3" t="s">
        <x:v>231</x:v>
      </x:c>
      <x:c r="K34" s="4">
        <x:v>21000</x:v>
      </x:c>
      <x:c r="L34" s="4">
        <x:f>+K34*0.1</x:f>
        <x:v>2100</x:v>
      </x:c>
      <x:c r="M34" s="5">
        <x:f t="shared" si="4"/>
        <x:v>23100</x:v>
      </x:c>
      <x:c r="N34" s="6"/>
      <x:c r="V34" s="1"/>
    </x:row>
    <x:row r="35" spans="1:22" s="2" customFormat="1" ht="20.100000000000001" customHeight="1">
      <x:c r="A35" s="299"/>
      <x:c r="B35" s="3" t="s">
        <x:v>247</x:v>
      </x:c>
      <x:c r="C35" s="3" t="s">
        <x:v>231</x:v>
      </x:c>
      <x:c r="D35" s="4">
        <x:f>20000+3500</x:f>
        <x:v>23500</x:v>
      </x:c>
      <x:c r="E35" s="4">
        <x:f>2000+350</x:f>
        <x:v>2350</x:v>
      </x:c>
      <x:c r="F35" s="5">
        <x:f t="shared" si="6"/>
        <x:v>25850</x:v>
      </x:c>
      <x:c r="G35" s="146" t="s">
        <x:v>1451</x:v>
      </x:c>
      <x:c r="H35" s="299"/>
      <x:c r="I35" s="3" t="s">
        <x:v>774</x:v>
      </x:c>
      <x:c r="J35" s="3" t="s">
        <x:v>1233</x:v>
      </x:c>
      <x:c r="K35" s="4">
        <x:v>2100000</x:v>
      </x:c>
      <x:c r="L35" s="4">
        <x:f>+K35*0.1</x:f>
        <x:v>210000</x:v>
      </x:c>
      <x:c r="M35" s="5">
        <x:f t="shared" si="4"/>
        <x:v>2310000</x:v>
      </x:c>
      <x:c r="N35" s="6"/>
      <x:c r="V35" s="1"/>
    </x:row>
    <x:row r="36" spans="1:22" s="2" customFormat="1" ht="20.100000000000001" customHeight="1">
      <x:c r="A36" s="299"/>
      <x:c r="B36" s="3" t="s">
        <x:v>1304</x:v>
      </x:c>
      <x:c r="C36" s="3" t="s">
        <x:v>167</x:v>
      </x:c>
      <x:c r="D36" s="4">
        <x:v>350000</x:v>
      </x:c>
      <x:c r="E36" s="4">
        <x:f>+D36*0.1</x:f>
        <x:v>35000</x:v>
      </x:c>
      <x:c r="F36" s="5">
        <x:f t="shared" si="6"/>
        <x:v>385000</x:v>
      </x:c>
      <x:c r="G36" s="146"/>
      <x:c r="H36" s="299"/>
      <x:c r="I36" s="3" t="s">
        <x:v>1464</x:v>
      </x:c>
      <x:c r="J36" s="3" t="s">
        <x:v>1465</x:v>
      </x:c>
      <x:c r="K36" s="4">
        <x:v>700000</x:v>
      </x:c>
      <x:c r="L36" s="209">
        <x:f>+INT(K36*0.1)</x:f>
        <x:v>70000</x:v>
      </x:c>
      <x:c r="M36" s="5">
        <x:f t="shared" si="4"/>
        <x:v>770000</x:v>
      </x:c>
      <x:c r="N36" s="6"/>
      <x:c r="V36" s="1"/>
    </x:row>
    <x:row r="37" spans="1:22" s="2" customFormat="1" ht="20.100000000000001" customHeight="1">
      <x:c r="A37" s="299"/>
      <x:c r="B37" s="3" t="s">
        <x:v>238</x:v>
      </x:c>
      <x:c r="C37" s="3" t="s">
        <x:v>405</x:v>
      </x:c>
      <x:c r="D37" s="4">
        <x:v>420000</x:v>
      </x:c>
      <x:c r="E37" s="4"/>
      <x:c r="F37" s="5">
        <x:f t="shared" si="6"/>
        <x:v>420000</x:v>
      </x:c>
      <x:c r="G37" s="146" t="s">
        <x:v>185</x:v>
      </x:c>
      <x:c r="H37" s="299"/>
      <x:c r="I37" s="3"/>
      <x:c r="J37" s="3"/>
      <x:c r="K37" s="4"/>
      <x:c r="L37" s="209"/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270</x:v>
      </x:c>
      <x:c r="C38" s="3" t="s">
        <x:v>134</x:v>
      </x:c>
      <x:c r="D38" s="4">
        <x:v>290000</x:v>
      </x:c>
      <x:c r="E38" s="4"/>
      <x:c r="F38" s="5">
        <x:f t="shared" si="6"/>
        <x:v>290000</x:v>
      </x:c>
      <x:c r="G38" s="146" t="s">
        <x:v>271</x:v>
      </x:c>
      <x:c r="H38" s="299"/>
      <x:c r="I38" s="3"/>
      <x:c r="J38" s="3"/>
      <x:c r="K38" s="4"/>
      <x:c r="L38" s="4">
        <x:f>+K38*0.1</x:f>
        <x:v>0</x:v>
      </x:c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/>
      <x:c r="C39" s="3"/>
      <x:c r="D39" s="4"/>
      <x:c r="E39" s="4"/>
      <x:c r="F39" s="5">
        <x:f t="shared" si="5"/>
        <x:v>0</x:v>
      </x:c>
      <x:c r="G39" s="146"/>
      <x:c r="H39" s="299"/>
      <x:c r="I39" s="3"/>
      <x:c r="J39" s="3"/>
      <x:c r="K39" s="4"/>
      <x:c r="L39" s="4"/>
      <x:c r="M39" s="5"/>
      <x:c r="N39" s="6"/>
      <x:c r="V39" s="1"/>
    </x:row>
    <x:row r="40" spans="1:22" s="2" customFormat="1" ht="20.100000000000001" customHeight="1">
      <x:c r="A40" s="300"/>
      <x:c r="B40" s="3"/>
      <x:c r="C40" s="3"/>
      <x:c r="D40" s="4"/>
      <x:c r="E40" s="4"/>
      <x:c r="F40" s="5">
        <x:f t="shared" si="5"/>
        <x:v>0</x:v>
      </x:c>
      <x:c r="G40" s="6"/>
      <x:c r="H40" s="300"/>
      <x:c r="I40" s="3"/>
      <x:c r="J40" s="3"/>
      <x:c r="K40" s="4"/>
      <x:c r="L40" s="4"/>
      <x:c r="M40" s="5">
        <x:f>+K40+L40</x:f>
        <x:v>0</x:v>
      </x:c>
      <x:c r="N40" s="6"/>
      <x:c r="V40" s="1"/>
    </x:row>
    <x:row r="41" spans="1:22" s="2" customFormat="1" ht="20.100000000000001" customHeight="1">
      <x:c r="A41" s="7" t="s">
        <x:v>155</x:v>
      </x:c>
      <x:c r="B41" s="8"/>
      <x:c r="C41" s="8"/>
      <x:c r="D41" s="9">
        <x:f>SUM(D30:D40)</x:f>
        <x:v>3689220</x:v>
      </x:c>
      <x:c r="E41" s="9">
        <x:f>SUM(E30:E40)</x:f>
        <x:v>151689.89999999999</x:v>
      </x:c>
      <x:c r="F41" s="10">
        <x:f>SUM(F30:F40)</x:f>
        <x:v>3840909.8999999999</x:v>
      </x:c>
      <x:c r="G41" s="11"/>
      <x:c r="H41" s="7"/>
      <x:c r="I41" s="8"/>
      <x:c r="J41" s="8"/>
      <x:c r="K41" s="9">
        <x:f>SUM(K30:K40)</x:f>
        <x:v>3081000</x:v>
      </x:c>
      <x:c r="L41" s="9">
        <x:f>SUM(L30:L40)</x:f>
        <x:v>308100</x:v>
      </x:c>
      <x:c r="M41" s="10">
        <x:f>SUM(M30:M40)</x:f>
        <x:v>3389100</x:v>
      </x:c>
      <x:c r="N41" s="11"/>
      <x:c r="V41" s="1"/>
    </x:row>
    <x:row r="42" spans="1:22" s="2" customFormat="1" ht="20.100000000000001" customHeight="1">
      <x:c r="A42" s="12" t="s">
        <x:v>1690</x:v>
      </x:c>
      <x:c r="B42" s="13"/>
      <x:c r="C42" s="13"/>
      <x:c r="D42" s="14">
        <x:f>+D18+D24+D29+D41</x:f>
        <x:v>214568640</x:v>
      </x:c>
      <x:c r="E42" s="14">
        <x:f>+E18+E24+E29+E41</x:f>
        <x:v>11068131.9</x:v>
      </x:c>
      <x:c r="F42" s="15">
        <x:f>+F18+F24+F29+F41</x:f>
        <x:v>225636771.90000001</x:v>
      </x:c>
      <x:c r="G42" s="16"/>
      <x:c r="H42" s="12"/>
      <x:c r="I42" s="13"/>
      <x:c r="J42" s="13"/>
      <x:c r="K42" s="14">
        <x:f>+K18+K24+K29+K41</x:f>
        <x:v>16772320</x:v>
      </x:c>
      <x:c r="L42" s="14">
        <x:f>+L18+L24+L29+L41</x:f>
        <x:v>444249</x:v>
      </x:c>
      <x:c r="M42" s="15">
        <x:f>+M18+M24+M29+M41</x:f>
        <x:v>17216569</x:v>
      </x:c>
      <x:c r="N42" s="16"/>
      <x:c r="V42" s="1"/>
    </x:row>
    <x:row r="43" spans="1:22" s="2" customFormat="1" ht="20.100000000000001" customHeight="1">
      <x:c r="A43" s="23" t="s">
        <x:v>35</x:v>
      </x:c>
      <x:c r="B43" s="24"/>
      <x:c r="C43" s="24"/>
      <x:c r="D43" s="25">
        <x:f>+D4-D42</x:f>
        <x:v>198730360</x:v>
      </x:c>
      <x:c r="E43" s="25">
        <x:f>+E4-E42</x:f>
        <x:v>3758768.0999999996</x:v>
      </x:c>
      <x:c r="F43" s="26">
        <x:f>+F4-F42</x:f>
        <x:v>202489128.09999999</x:v>
      </x:c>
      <x:c r="G43" s="27"/>
      <x:c r="H43" s="23"/>
      <x:c r="I43" s="24"/>
      <x:c r="J43" s="24"/>
      <x:c r="K43" s="25">
        <x:f>+K4-K42</x:f>
        <x:v>25932680</x:v>
      </x:c>
      <x:c r="L43" s="25">
        <x:f>+L4-L42</x:f>
        <x:v>-349249</x:v>
      </x:c>
      <x:c r="M43" s="26">
        <x:f>+M4-M42</x:f>
        <x:v>25583431</x:v>
      </x:c>
      <x:c r="N43" s="27"/>
      <x:c r="V43" s="1"/>
    </x:row>
    <x:row r="44" spans="1:22" s="2" customFormat="1" ht="20.100000000000001" customHeight="1">
      <x:c r="A44" s="302" t="s">
        <x:v>410</x:v>
      </x:c>
      <x:c r="B44" s="303"/>
      <x:c r="C44" s="303"/>
      <x:c r="D44" s="303"/>
      <x:c r="E44" s="303"/>
      <x:c r="F44" s="304"/>
      <x:c r="G44" s="305"/>
      <x:c r="H44" s="302" t="s">
        <x:v>789</x:v>
      </x:c>
      <x:c r="I44" s="303"/>
      <x:c r="J44" s="303"/>
      <x:c r="K44" s="303"/>
      <x:c r="L44" s="303"/>
      <x:c r="M44" s="304"/>
      <x:c r="N44" s="305"/>
      <x:c r="V44" s="1"/>
    </x:row>
    <x:row r="45" spans="1:22" s="2" customFormat="1" ht="20.100000000000001" customHeight="1">
      <x:c r="A45" s="29" t="s">
        <x:v>147</x:v>
      </x:c>
      <x:c r="B45" s="216" t="s">
        <x:v>144</x:v>
      </x:c>
      <x:c r="C45" s="216" t="s">
        <x:v>150</x:v>
      </x:c>
      <x:c r="D45" s="31" t="s">
        <x:v>145</x:v>
      </x:c>
      <x:c r="E45" s="31" t="s">
        <x:v>152</x:v>
      </x:c>
      <x:c r="F45" s="31" t="s">
        <x:v>146</x:v>
      </x:c>
      <x:c r="G45" s="34" t="s">
        <x:v>154</x:v>
      </x:c>
      <x:c r="H45" s="29" t="s">
        <x:v>147</x:v>
      </x:c>
      <x:c r="I45" s="216" t="s">
        <x:v>144</x:v>
      </x:c>
      <x:c r="J45" s="216" t="s">
        <x:v>150</x:v>
      </x:c>
      <x:c r="K45" s="31" t="s">
        <x:v>145</x:v>
      </x:c>
      <x:c r="L45" s="31" t="s">
        <x:v>152</x:v>
      </x:c>
      <x:c r="M45" s="32" t="s">
        <x:v>146</x:v>
      </x:c>
      <x:c r="N45" s="33" t="s">
        <x:v>154</x:v>
      </x:c>
      <x:c r="V45" s="1"/>
    </x:row>
    <x:row r="46" spans="1:22" s="2" customFormat="1" ht="20.100000000000001" customHeight="1">
      <x:c r="A46" s="41" t="s">
        <x:v>151</x:v>
      </x:c>
      <x:c r="B46" s="149" t="s">
        <x:v>1679</x:v>
      </x:c>
      <x:c r="C46" s="149" t="s">
        <x:v>488</x:v>
      </x:c>
      <x:c r="D46" s="150">
        <x:f>(65000000+75000000)-43280132</x:f>
        <x:v>96719868</x:v>
      </x:c>
      <x:c r="E46" s="150">
        <x:f>+D46*0.1</x:f>
        <x:v>9671986.8000000007</x:v>
      </x:c>
      <x:c r="F46" s="40">
        <x:f>+D46+E46</x:f>
        <x:v>106391854.8</x:v>
      </x:c>
      <x:c r="G46" s="42" t="s">
        <x:v>432</x:v>
      </x:c>
      <x:c r="H46" s="215" t="s">
        <x:v>151</x:v>
      </x:c>
      <x:c r="I46" s="38" t="s">
        <x:v>1679</x:v>
      </x:c>
      <x:c r="J46" s="38" t="s">
        <x:v>156</x:v>
      </x:c>
      <x:c r="K46" s="39">
        <x:v>138500000</x:v>
      </x:c>
      <x:c r="L46" s="39">
        <x:f>+K46*0.1</x:f>
        <x:v>13850000</x:v>
      </x:c>
      <x:c r="M46" s="40">
        <x:f t="shared" ref="M46:M52" si="7">+K46+L46</x:f>
        <x:v>152350000</x:v>
      </x:c>
      <x:c r="N46" s="18" t="s">
        <x:v>1469</x:v>
      </x:c>
      <x:c r="V46" s="1"/>
    </x:row>
    <x:row r="47" spans="1:22" s="2" customFormat="1" ht="20.100000000000001" customHeight="1">
      <x:c r="A47" s="298" t="s">
        <x:v>148</x:v>
      </x:c>
      <x:c r="B47" s="147" t="s">
        <x:v>867</x:v>
      </x:c>
      <x:c r="C47" s="3" t="s">
        <x:v>384</x:v>
      </x:c>
      <x:c r="D47" s="148">
        <x:v>4104000</x:v>
      </x:c>
      <x:c r="E47" s="148">
        <x:f t="shared" ref="E47:E55" si="8">+INT(D47*0.1)</x:f>
        <x:v>410400</x:v>
      </x:c>
      <x:c r="F47" s="94">
        <x:f t="shared" ref="F47:F62" si="9">+D47+E47</x:f>
        <x:v>4514400</x:v>
      </x:c>
      <x:c r="G47" s="22"/>
      <x:c r="H47" s="298" t="s">
        <x:v>148</x:v>
      </x:c>
      <x:c r="I47" s="54" t="s">
        <x:v>867</x:v>
      </x:c>
      <x:c r="J47" s="54"/>
      <x:c r="K47" s="93"/>
      <x:c r="L47" s="93">
        <x:f t="shared" ref="L47:L52" si="10">+INT(K47*0.1)</x:f>
        <x:v>0</x:v>
      </x:c>
      <x:c r="M47" s="94">
        <x:f t="shared" si="7"/>
        <x:v>0</x:v>
      </x:c>
      <x:c r="N47" s="95"/>
      <x:c r="V47" s="1"/>
    </x:row>
    <x:row r="48" spans="1:22" s="2" customFormat="1" ht="20.100000000000001" customHeight="1">
      <x:c r="A48" s="299"/>
      <x:c r="B48" s="147" t="s">
        <x:v>838</x:v>
      </x:c>
      <x:c r="C48" s="3" t="s">
        <x:v>1189</x:v>
      </x:c>
      <x:c r="D48" s="148">
        <x:v>209678</x:v>
      </x:c>
      <x:c r="E48" s="148">
        <x:f t="shared" si="8"/>
        <x:v>20967</x:v>
      </x:c>
      <x:c r="F48" s="4">
        <x:f t="shared" si="9"/>
        <x:v>230645</x:v>
      </x:c>
      <x:c r="G48" s="6"/>
      <x:c r="H48" s="299"/>
      <x:c r="I48" s="162" t="s">
        <x:v>1348</x:v>
      </x:c>
      <x:c r="J48" s="162"/>
      <x:c r="K48" s="163"/>
      <x:c r="L48" s="163">
        <x:f t="shared" si="10"/>
        <x:v>0</x:v>
      </x:c>
      <x:c r="M48" s="164">
        <x:f t="shared" si="7"/>
        <x:v>0</x:v>
      </x:c>
      <x:c r="N48" s="158"/>
      <x:c r="V48" s="1"/>
    </x:row>
    <x:row r="49" spans="1:22" s="2" customFormat="1" ht="20.100000000000001" customHeight="1">
      <x:c r="A49" s="299"/>
      <x:c r="B49" s="3" t="s">
        <x:v>1315</x:v>
      </x:c>
      <x:c r="C49" s="3" t="s">
        <x:v>1711</x:v>
      </x:c>
      <x:c r="D49" s="4">
        <x:v>6960100</x:v>
      </x:c>
      <x:c r="E49" s="4">
        <x:f t="shared" si="8"/>
        <x:v>696010</x:v>
      </x:c>
      <x:c r="F49" s="5">
        <x:f t="shared" si="9"/>
        <x:v>7656110</x:v>
      </x:c>
      <x:c r="G49" s="6"/>
      <x:c r="H49" s="299"/>
      <x:c r="I49" s="3" t="s">
        <x:v>838</x:v>
      </x:c>
      <x:c r="J49" s="3" t="s">
        <x:v>1682</x:v>
      </x:c>
      <x:c r="K49" s="4">
        <x:v>1165000</x:v>
      </x:c>
      <x:c r="L49" s="4">
        <x:f t="shared" si="10"/>
        <x:v>116500</x:v>
      </x:c>
      <x:c r="M49" s="5">
        <x:f t="shared" si="7"/>
        <x:v>1281500</x:v>
      </x:c>
      <x:c r="N49" s="6"/>
      <x:c r="V49" s="1"/>
    </x:row>
    <x:row r="50" spans="1:22" s="2" customFormat="1" ht="20.100000000000001" customHeight="1">
      <x:c r="A50" s="299"/>
      <x:c r="B50" s="3" t="s">
        <x:v>846</x:v>
      </x:c>
      <x:c r="C50" s="3"/>
      <x:c r="D50" s="4"/>
      <x:c r="E50" s="4">
        <x:f t="shared" si="8"/>
        <x:v>0</x:v>
      </x:c>
      <x:c r="F50" s="5">
        <x:f t="shared" si="9"/>
        <x:v>0</x:v>
      </x:c>
      <x:c r="G50" s="6"/>
      <x:c r="H50" s="299"/>
      <x:c r="I50" s="3" t="s">
        <x:v>1119</x:v>
      </x:c>
      <x:c r="J50" s="3" t="s">
        <x:v>1386</x:v>
      </x:c>
      <x:c r="K50" s="4">
        <x:v>2996000</x:v>
      </x:c>
      <x:c r="L50" s="4">
        <x:f t="shared" si="10"/>
        <x:v>299600</x:v>
      </x:c>
      <x:c r="M50" s="5">
        <x:f t="shared" si="7"/>
        <x:v>3295600</x:v>
      </x:c>
      <x:c r="N50" s="6"/>
      <x:c r="V50" s="1"/>
    </x:row>
    <x:row r="51" spans="1:22" s="2" customFormat="1" ht="20.100000000000001" customHeight="1">
      <x:c r="A51" s="299"/>
      <x:c r="B51" s="3" t="s">
        <x:v>1348</x:v>
      </x:c>
      <x:c r="C51" s="3"/>
      <x:c r="D51" s="4"/>
      <x:c r="E51" s="4">
        <x:f t="shared" si="8"/>
        <x:v>0</x:v>
      </x:c>
      <x:c r="F51" s="5">
        <x:f t="shared" si="9"/>
        <x:v>0</x:v>
      </x:c>
      <x:c r="G51" s="6"/>
      <x:c r="H51" s="299"/>
      <x:c r="I51" s="3" t="s">
        <x:v>938</x:v>
      </x:c>
      <x:c r="J51" s="3"/>
      <x:c r="K51" s="4"/>
      <x:c r="L51" s="4">
        <x:f t="shared" si="10"/>
        <x:v>0</x:v>
      </x:c>
      <x:c r="M51" s="5">
        <x:f t="shared" si="7"/>
        <x:v>0</x:v>
      </x:c>
      <x:c r="N51" s="6" t="s">
        <x:v>1431</x:v>
      </x:c>
      <x:c r="V51" s="1"/>
    </x:row>
    <x:row r="52" spans="1:22" s="2" customFormat="1" ht="20.100000000000001" customHeight="1">
      <x:c r="A52" s="299"/>
      <x:c r="B52" s="3" t="s">
        <x:v>1378</x:v>
      </x:c>
      <x:c r="C52" s="3" t="s">
        <x:v>255</x:v>
      </x:c>
      <x:c r="D52" s="4">
        <x:v>1630550</x:v>
      </x:c>
      <x:c r="E52" s="4">
        <x:f t="shared" si="8"/>
        <x:v>163055</x:v>
      </x:c>
      <x:c r="F52" s="5">
        <x:f t="shared" si="9"/>
        <x:v>1793605</x:v>
      </x:c>
      <x:c r="G52" s="6"/>
      <x:c r="H52" s="299"/>
      <x:c r="I52" s="3" t="s">
        <x:v>1058</x:v>
      </x:c>
      <x:c r="J52" s="3" t="s">
        <x:v>519</x:v>
      </x:c>
      <x:c r="K52" s="4">
        <x:v>5575000</x:v>
      </x:c>
      <x:c r="L52" s="4">
        <x:f t="shared" si="10"/>
        <x:v>557500</x:v>
      </x:c>
      <x:c r="M52" s="5">
        <x:f t="shared" si="7"/>
        <x:v>6132500</x:v>
      </x:c>
      <x:c r="N52" s="6"/>
      <x:c r="V52" s="1"/>
    </x:row>
    <x:row r="53" spans="1:22" s="2" customFormat="1" ht="20.100000000000001" customHeight="1">
      <x:c r="A53" s="299"/>
      <x:c r="B53" s="3" t="s">
        <x:v>938</x:v>
      </x:c>
      <x:c r="C53" s="3"/>
      <x:c r="D53" s="4"/>
      <x:c r="E53" s="4">
        <x:f t="shared" si="8"/>
        <x:v>0</x:v>
      </x:c>
      <x:c r="F53" s="5">
        <x:f t="shared" si="9"/>
        <x:v>0</x:v>
      </x:c>
      <x:c r="G53" s="6" t="s">
        <x:v>1423</x:v>
      </x:c>
      <x:c r="H53" s="299"/>
      <x:c r="I53" s="3" t="s">
        <x:v>1378</x:v>
      </x:c>
      <x:c r="J53" s="3" t="s">
        <x:v>1470</x:v>
      </x:c>
      <x:c r="K53" s="4">
        <x:v>2134500</x:v>
      </x:c>
      <x:c r="L53" s="4">
        <x:f>+INT(K53*0.1)</x:f>
        <x:v>213450</x:v>
      </x:c>
      <x:c r="M53" s="5">
        <x:f>+K53+L53</x:f>
        <x:v>2347950</x:v>
      </x:c>
      <x:c r="N53" s="6"/>
      <x:c r="V53" s="1"/>
    </x:row>
    <x:row r="54" spans="1:22" s="2" customFormat="1" ht="20.100000000000001" customHeight="1">
      <x:c r="A54" s="299"/>
      <x:c r="B54" s="3" t="s">
        <x:v>864</x:v>
      </x:c>
      <x:c r="C54" s="3" t="s">
        <x:v>768</x:v>
      </x:c>
      <x:c r="D54" s="4">
        <x:v>7482000</x:v>
      </x:c>
      <x:c r="E54" s="4">
        <x:f t="shared" si="8"/>
        <x:v>748200</x:v>
      </x:c>
      <x:c r="F54" s="5">
        <x:f t="shared" si="9"/>
        <x:v>8230200</x:v>
      </x:c>
      <x:c r="G54" s="6"/>
      <x:c r="H54" s="299"/>
      <x:c r="I54" s="3" t="s">
        <x:v>846</x:v>
      </x:c>
      <x:c r="J54" s="3" t="s">
        <x:v>1462</x:v>
      </x:c>
      <x:c r="K54" s="4">
        <x:v>749000</x:v>
      </x:c>
      <x:c r="L54" s="4">
        <x:f>+INT(K54*0.1)</x:f>
        <x:v>74900</x:v>
      </x:c>
      <x:c r="M54" s="5">
        <x:f>+K54+L54</x:f>
        <x:v>823900</x:v>
      </x:c>
      <x:c r="N54" s="6" t="s">
        <x:v>1431</x:v>
      </x:c>
      <x:c r="V54" s="1"/>
    </x:row>
    <x:row r="55" spans="1:22" s="2" customFormat="1" ht="20.100000000000001" customHeight="1">
      <x:c r="A55" s="299"/>
      <x:c r="B55" s="3" t="s">
        <x:v>228</x:v>
      </x:c>
      <x:c r="C55" s="3" t="s">
        <x:v>1112</x:v>
      </x:c>
      <x:c r="D55" s="4">
        <x:v>6943000</x:v>
      </x:c>
      <x:c r="E55" s="4">
        <x:f t="shared" si="8"/>
        <x:v>694300</x:v>
      </x:c>
      <x:c r="F55" s="5">
        <x:f t="shared" si="9"/>
        <x:v>7637300</x:v>
      </x:c>
      <x:c r="G55" s="6"/>
      <x:c r="H55" s="299"/>
      <x:c r="I55" s="3" t="s">
        <x:v>846</x:v>
      </x:c>
      <x:c r="J55" s="3" t="s">
        <x:v>522</x:v>
      </x:c>
      <x:c r="K55" s="4">
        <x:v>2812125</x:v>
      </x:c>
      <x:c r="L55" s="4">
        <x:f>+INT(K55*0.1)</x:f>
        <x:v>281212</x:v>
      </x:c>
      <x:c r="M55" s="5">
        <x:f>+K55+L55</x:f>
        <x:v>3093337</x:v>
      </x:c>
      <x:c r="N55" s="6"/>
      <x:c r="V55" s="1"/>
    </x:row>
    <x:row r="56" spans="1:22" s="2" customFormat="1" ht="20.100000000000001" customHeight="1">
      <x:c r="A56" s="299"/>
      <x:c r="B56" s="3" t="s">
        <x:v>1319</x:v>
      </x:c>
      <x:c r="C56" s="3"/>
      <x:c r="D56" s="4"/>
      <x:c r="E56" s="4">
        <x:f>+INT(D56*0.1)</x:f>
        <x:v>0</x:v>
      </x:c>
      <x:c r="F56" s="5">
        <x:f t="shared" si="9"/>
        <x:v>0</x:v>
      </x:c>
      <x:c r="G56" s="6"/>
      <x:c r="H56" s="299"/>
      <x:c r="I56" s="3"/>
      <x:c r="J56" s="3"/>
      <x:c r="K56" s="4"/>
      <x:c r="L56" s="4">
        <x:f t="shared" ref="L56:L61" si="11">+INT(K56*0.1)</x:f>
        <x:v>0</x:v>
      </x:c>
      <x:c r="M56" s="5">
        <x:f t="shared" ref="M56:M61" si="12">+K56+L56</x:f>
        <x:v>0</x:v>
      </x:c>
      <x:c r="N56" s="6"/>
      <x:c r="V56" s="1"/>
    </x:row>
    <x:row r="57" spans="1:22" s="2" customFormat="1" ht="20.100000000000001" customHeight="1">
      <x:c r="A57" s="299"/>
      <x:c r="B57" s="3" t="s">
        <x:v>1443</x:v>
      </x:c>
      <x:c r="C57" s="3" t="s">
        <x:v>256</x:v>
      </x:c>
      <x:c r="D57" s="4">
        <x:v>3754300</x:v>
      </x:c>
      <x:c r="E57" s="4">
        <x:f>+D57*0.1</x:f>
        <x:v>375430</x:v>
      </x:c>
      <x:c r="F57" s="5">
        <x:f t="shared" si="9"/>
        <x:v>4129730</x:v>
      </x:c>
      <x:c r="G57" s="6"/>
      <x:c r="H57" s="299"/>
      <x:c r="I57" s="3"/>
      <x:c r="J57" s="3"/>
      <x:c r="K57" s="4"/>
      <x:c r="L57" s="4">
        <x:f t="shared" si="11"/>
        <x:v>0</x:v>
      </x:c>
      <x:c r="M57" s="5">
        <x:f t="shared" si="12"/>
        <x:v>0</x:v>
      </x:c>
      <x:c r="N57" s="6"/>
      <x:c r="V57" s="1"/>
    </x:row>
    <x:row r="58" spans="1:22" s="2" customFormat="1" ht="20.100000000000001" customHeight="1">
      <x:c r="A58" s="299"/>
      <x:c r="B58" s="129" t="s">
        <x:v>1436</x:v>
      </x:c>
      <x:c r="C58" s="129" t="s">
        <x:v>1485</x:v>
      </x:c>
      <x:c r="D58" s="4">
        <x:v>2075900</x:v>
      </x:c>
      <x:c r="E58" s="4">
        <x:f>+D58*0.1</x:f>
        <x:v>207590</x:v>
      </x:c>
      <x:c r="F58" s="5">
        <x:f t="shared" si="9"/>
        <x:v>2283490</x:v>
      </x:c>
      <x:c r="G58" s="6" t="s">
        <x:v>1423</x:v>
      </x:c>
      <x:c r="H58" s="299"/>
      <x:c r="I58" s="3"/>
      <x:c r="J58" s="3"/>
      <x:c r="K58" s="4"/>
      <x:c r="L58" s="4">
        <x:f t="shared" si="11"/>
        <x:v>0</x:v>
      </x:c>
      <x:c r="M58" s="5">
        <x:f t="shared" si="12"/>
        <x:v>0</x:v>
      </x:c>
      <x:c r="N58" s="6"/>
      <x:c r="V58" s="1"/>
    </x:row>
    <x:row r="59" spans="1:22" s="2" customFormat="1" ht="20.100000000000001" customHeight="1">
      <x:c r="A59" s="299"/>
      <x:c r="B59" s="3" t="s">
        <x:v>483</x:v>
      </x:c>
      <x:c r="C59" s="129" t="s">
        <x:v>1115</x:v>
      </x:c>
      <x:c r="D59" s="130">
        <x:v>1646300</x:v>
      </x:c>
      <x:c r="E59" s="130">
        <x:f>+INT(D59*0.1)</x:f>
        <x:v>164630</x:v>
      </x:c>
      <x:c r="F59" s="5">
        <x:f>+D59+E59</x:f>
        <x:v>1810930</x:v>
      </x:c>
      <x:c r="G59" s="6"/>
      <x:c r="H59" s="299"/>
      <x:c r="I59" s="3"/>
      <x:c r="J59" s="3"/>
      <x:c r="K59" s="4"/>
      <x:c r="L59" s="4">
        <x:f t="shared" si="11"/>
        <x:v>0</x:v>
      </x:c>
      <x:c r="M59" s="5">
        <x:f t="shared" si="12"/>
        <x:v>0</x:v>
      </x:c>
      <x:c r="N59" s="6"/>
      <x:c r="V59" s="1"/>
    </x:row>
    <x:row r="60" spans="1:22" s="2" customFormat="1" ht="20.100000000000001" customHeight="1">
      <x:c r="A60" s="299"/>
      <x:c r="B60" s="129" t="s">
        <x:v>1453</x:v>
      </x:c>
      <x:c r="C60" s="129" t="s">
        <x:v>1476</x:v>
      </x:c>
      <x:c r="D60" s="4">
        <x:v>18540000</x:v>
      </x:c>
      <x:c r="E60" s="4">
        <x:f>+D60*0.1</x:f>
        <x:v>1854000</x:v>
      </x:c>
      <x:c r="F60" s="5">
        <x:f>+D60+E60</x:f>
        <x:v>20394000</x:v>
      </x:c>
      <x:c r="G60" s="6"/>
      <x:c r="H60" s="299"/>
      <x:c r="I60" s="3"/>
      <x:c r="J60" s="3"/>
      <x:c r="K60" s="4"/>
      <x:c r="L60" s="4">
        <x:f t="shared" si="11"/>
        <x:v>0</x:v>
      </x:c>
      <x:c r="M60" s="5">
        <x:f t="shared" si="12"/>
        <x:v>0</x:v>
      </x:c>
      <x:c r="N60" s="6"/>
      <x:c r="V60" s="1"/>
    </x:row>
    <x:row r="61" spans="1:22" s="2" customFormat="1" ht="20.100000000000001" customHeight="1">
      <x:c r="A61" s="299"/>
      <x:c r="B61" s="129"/>
      <x:c r="C61" s="129"/>
      <x:c r="D61" s="4"/>
      <x:c r="E61" s="4">
        <x:f>+D61*0.1</x:f>
        <x:v>0</x:v>
      </x:c>
      <x:c r="F61" s="5">
        <x:f t="shared" si="9"/>
        <x:v>0</x:v>
      </x:c>
      <x:c r="G61" s="132"/>
      <x:c r="H61" s="299"/>
      <x:c r="I61" s="3"/>
      <x:c r="J61" s="3"/>
      <x:c r="K61" s="4"/>
      <x:c r="L61" s="4">
        <x:f t="shared" si="11"/>
        <x:v>0</x:v>
      </x:c>
      <x:c r="M61" s="5">
        <x:f t="shared" si="12"/>
        <x:v>0</x:v>
      </x:c>
      <x:c r="N61" s="6"/>
      <x:c r="V61" s="1"/>
    </x:row>
    <x:row r="62" spans="1:22" s="2" customFormat="1" ht="20.100000000000001" customHeight="1">
      <x:c r="A62" s="299"/>
      <x:c r="B62" s="129"/>
      <x:c r="C62" s="129"/>
      <x:c r="D62" s="4"/>
      <x:c r="E62" s="4">
        <x:f>+D62*0.1</x:f>
        <x:v>0</x:v>
      </x:c>
      <x:c r="F62" s="5">
        <x:f t="shared" si="9"/>
        <x:v>0</x:v>
      </x:c>
      <x:c r="G62" s="6"/>
      <x:c r="H62" s="300"/>
      <x:c r="I62" s="3"/>
      <x:c r="J62" s="3"/>
      <x:c r="K62" s="4"/>
      <x:c r="L62" s="4"/>
      <x:c r="M62" s="5"/>
      <x:c r="N62" s="6"/>
      <x:c r="V62" s="1"/>
    </x:row>
    <x:row r="63" spans="1:22" s="2" customFormat="1" ht="20.100000000000001" customHeight="1">
      <x:c r="A63" s="7"/>
      <x:c r="B63" s="8"/>
      <x:c r="C63" s="8"/>
      <x:c r="D63" s="9">
        <x:f>SUM(D47:D62)</x:f>
        <x:v>53345828</x:v>
      </x:c>
      <x:c r="E63" s="9">
        <x:f>SUM(E47:E62)</x:f>
        <x:v>5334582</x:v>
      </x:c>
      <x:c r="F63" s="10">
        <x:f>SUM(F47:F62)</x:f>
        <x:v>58680410</x:v>
      </x:c>
      <x:c r="G63" s="11"/>
      <x:c r="H63" s="7" t="s">
        <x:v>155</x:v>
      </x:c>
      <x:c r="I63" s="8"/>
      <x:c r="J63" s="8"/>
      <x:c r="K63" s="9">
        <x:f>SUM(K47:K62)</x:f>
        <x:v>15431625</x:v>
      </x:c>
      <x:c r="L63" s="9">
        <x:f>SUM(L47:L62)</x:f>
        <x:v>1543162</x:v>
      </x:c>
      <x:c r="M63" s="10">
        <x:f>SUM(M47:M62)</x:f>
        <x:v>16974787</x:v>
      </x:c>
      <x:c r="N63" s="11"/>
      <x:c r="V63" s="1"/>
    </x:row>
    <x:row r="64" spans="1:22" s="2" customFormat="1" ht="20.100000000000001" customHeight="1">
      <x:c r="A64" s="301" t="s">
        <x:v>153</x:v>
      </x:c>
      <x:c r="B64" s="3" t="s">
        <x:v>1677</x:v>
      </x:c>
      <x:c r="C64" s="3" t="s">
        <x:v>1492</x:v>
      </x:c>
      <x:c r="D64" s="4">
        <x:v>66546000</x:v>
      </x:c>
      <x:c r="E64" s="4"/>
      <x:c r="F64" s="5">
        <x:f>+D64+E64</x:f>
        <x:v>66546000</x:v>
      </x:c>
      <x:c r="G64" s="6" t="s">
        <x:v>1423</x:v>
      </x:c>
      <x:c r="H64" s="301" t="s">
        <x:v>153</x:v>
      </x:c>
      <x:c r="I64" s="3" t="s">
        <x:v>1677</x:v>
      </x:c>
      <x:c r="J64" s="3" t="s">
        <x:v>1308</x:v>
      </x:c>
      <x:c r="K64" s="44">
        <x:f>9100000+35450000</x:f>
        <x:v>44550000</x:v>
      </x:c>
      <x:c r="L64" s="44"/>
      <x:c r="M64" s="45">
        <x:f>+K64+L64</x:f>
        <x:v>44550000</x:v>
      </x:c>
      <x:c r="N64" s="37"/>
      <x:c r="V64" s="1"/>
    </x:row>
    <x:row r="65" spans="1:22" s="2" customFormat="1" ht="20.100000000000001" customHeight="1">
      <x:c r="A65" s="299"/>
      <x:c r="B65" s="3"/>
      <x:c r="C65" s="3"/>
      <x:c r="D65" s="4"/>
      <x:c r="E65" s="4"/>
      <x:c r="F65" s="5">
        <x:f>+D65+E65</x:f>
        <x:v>0</x:v>
      </x:c>
      <x:c r="G65" s="6"/>
      <x:c r="H65" s="299"/>
      <x:c r="I65" s="3"/>
      <x:c r="J65" s="3"/>
      <x:c r="K65" s="44"/>
      <x:c r="L65" s="44">
        <x:f>+K65*0.1</x:f>
        <x:v>0</x:v>
      </x:c>
      <x:c r="M65" s="45">
        <x:f>+K65+L65</x:f>
        <x:v>0</x:v>
      </x:c>
      <x:c r="N65" s="37"/>
      <x:c r="V65" s="1"/>
    </x:row>
    <x:row r="66" spans="1:22" s="2" customFormat="1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  <x:c r="V66" s="1"/>
    </x:row>
    <x:row r="67" spans="1:22" s="2" customFormat="1" ht="20.100000000000001" customHeight="1">
      <x:c r="A67" s="300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300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  <x:c r="V67" s="1"/>
    </x:row>
    <x:row r="68" spans="1:22" s="2" customFormat="1" ht="20.100000000000001" customHeight="1">
      <x:c r="A68" s="7"/>
      <x:c r="B68" s="8"/>
      <x:c r="C68" s="8"/>
      <x:c r="D68" s="9">
        <x:f>SUM(D64:D67)</x:f>
        <x:v>66546000</x:v>
      </x:c>
      <x:c r="E68" s="9">
        <x:f>SUM(E64:E67)</x:f>
        <x:v>0</x:v>
      </x:c>
      <x:c r="F68" s="10">
        <x:f>SUM(F64:F67)</x:f>
        <x:v>66546000</x:v>
      </x:c>
      <x:c r="G68" s="11"/>
      <x:c r="H68" s="7" t="s">
        <x:v>155</x:v>
      </x:c>
      <x:c r="I68" s="8"/>
      <x:c r="J68" s="8"/>
      <x:c r="K68" s="9">
        <x:f>SUM(K64:K67)</x:f>
        <x:v>44550000</x:v>
      </x:c>
      <x:c r="L68" s="9">
        <x:f>SUM(L64:L67)</x:f>
        <x:v>0</x:v>
      </x:c>
      <x:c r="M68" s="10">
        <x:f>SUM(M64:M67)</x:f>
        <x:v>44550000</x:v>
      </x:c>
      <x:c r="N68" s="11"/>
      <x:c r="V68" s="1"/>
    </x:row>
    <x:row r="69" spans="1:22" s="2" customFormat="1" ht="20.100000000000001" customHeight="1">
      <x:c r="A69" s="301" t="s">
        <x:v>187</x:v>
      </x:c>
      <x:c r="B69" s="3" t="s">
        <x:v>1124</x:v>
      </x:c>
      <x:c r="C69" s="3" t="s">
        <x:v>1006</x:v>
      </x:c>
      <x:c r="D69" s="4">
        <x:v>1602000</x:v>
      </x:c>
      <x:c r="E69" s="4">
        <x:f>+D69*0.1</x:f>
        <x:v>160200</x:v>
      </x:c>
      <x:c r="F69" s="5">
        <x:f>+D69+E69</x:f>
        <x:v>1762200</x:v>
      </x:c>
      <x:c r="G69" s="6"/>
      <x:c r="H69" s="301" t="s">
        <x:v>187</x:v>
      </x:c>
      <x:c r="I69" s="3" t="s">
        <x:v>1461</x:v>
      </x:c>
      <x:c r="J69" s="3" t="s">
        <x:v>1006</x:v>
      </x:c>
      <x:c r="K69" s="4">
        <x:v>1080000</x:v>
      </x:c>
      <x:c r="L69" s="4">
        <x:f>+K69*0.1</x:f>
        <x:v>108000</x:v>
      </x:c>
      <x:c r="M69" s="5">
        <x:f>+K69+L69</x:f>
        <x:v>1188000</x:v>
      </x:c>
      <x:c r="N69" s="6" t="s">
        <x:v>277</x:v>
      </x:c>
      <x:c r="V69" s="1"/>
    </x:row>
    <x:row r="70" spans="1:22" s="2" customFormat="1" ht="20.100000000000001" customHeight="1">
      <x:c r="A70" s="299"/>
      <x:c r="B70" s="3" t="s">
        <x:v>1486</x:v>
      </x:c>
      <x:c r="C70" s="3" t="s">
        <x:v>948</x:v>
      </x:c>
      <x:c r="D70" s="4">
        <x:v>1010000</x:v>
      </x:c>
      <x:c r="E70" s="4">
        <x:f>+D70*0.1</x:f>
        <x:v>101000</x:v>
      </x:c>
      <x:c r="F70" s="5">
        <x:f>+D70+E70</x:f>
        <x:v>1111000</x:v>
      </x:c>
      <x:c r="G70" s="6"/>
      <x:c r="H70" s="299"/>
      <x:c r="I70" s="3" t="s">
        <x:v>524</x:v>
      </x:c>
      <x:c r="J70" s="3" t="s">
        <x:v>948</x:v>
      </x:c>
      <x:c r="K70" s="4">
        <x:v>60000</x:v>
      </x:c>
      <x:c r="L70" s="4">
        <x:f>+K70*0.1</x:f>
        <x:v>6000</x:v>
      </x:c>
      <x:c r="M70" s="5">
        <x:f>+K70+L70</x:f>
        <x:v>66000</x:v>
      </x:c>
      <x:c r="N70" s="6"/>
      <x:c r="V70" s="1"/>
    </x:row>
    <x:row r="71" spans="1:22" s="2" customFormat="1" ht="20.100000000000001" customHeight="1">
      <x:c r="A71" s="299"/>
      <x:c r="B71" s="3"/>
      <x:c r="C71" s="3"/>
      <x:c r="D71" s="4"/>
      <x:c r="E71" s="4">
        <x:f>+D71*0.1</x:f>
        <x:v>0</x:v>
      </x:c>
      <x:c r="F71" s="5">
        <x:f>+D71+E71</x:f>
        <x:v>0</x:v>
      </x:c>
      <x:c r="G71" s="6"/>
      <x:c r="H71" s="299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  <x:c r="V71" s="1"/>
    </x:row>
    <x:row r="72" spans="1:22" s="2" customFormat="1" ht="20.100000000000001" customHeight="1">
      <x:c r="A72" s="300"/>
      <x:c r="B72" s="3"/>
      <x:c r="C72" s="3"/>
      <x:c r="D72" s="4"/>
      <x:c r="E72" s="4">
        <x:f>+D72*0.1</x:f>
        <x:v>0</x:v>
      </x:c>
      <x:c r="F72" s="5">
        <x:f>+D72+E72</x:f>
        <x:v>0</x:v>
      </x:c>
      <x:c r="G72" s="6"/>
      <x:c r="H72" s="300"/>
      <x:c r="I72" s="3"/>
      <x:c r="J72" s="3"/>
      <x:c r="K72" s="4"/>
      <x:c r="L72" s="4">
        <x:f>+K72*0.1</x:f>
        <x:v>0</x:v>
      </x:c>
      <x:c r="M72" s="5">
        <x:f>+K72+L72</x:f>
        <x:v>0</x:v>
      </x:c>
      <x:c r="N72" s="6"/>
      <x:c r="V72" s="1"/>
    </x:row>
    <x:row r="73" spans="1:22" s="2" customFormat="1" ht="20.100000000000001" customHeight="1">
      <x:c r="A73" s="7"/>
      <x:c r="B73" s="8"/>
      <x:c r="C73" s="8"/>
      <x:c r="D73" s="9">
        <x:f>SUM(D69:D72)</x:f>
        <x:v>2612000</x:v>
      </x:c>
      <x:c r="E73" s="9">
        <x:f>SUM(E69:E72)</x:f>
        <x:v>261200</x:v>
      </x:c>
      <x:c r="F73" s="10">
        <x:f>SUM(F69:F72)</x:f>
        <x:v>2873200</x:v>
      </x:c>
      <x:c r="G73" s="11"/>
      <x:c r="H73" s="7" t="s">
        <x:v>155</x:v>
      </x:c>
      <x:c r="I73" s="8"/>
      <x:c r="J73" s="8"/>
      <x:c r="K73" s="9">
        <x:f>SUM(K69:K72)</x:f>
        <x:v>1140000</x:v>
      </x:c>
      <x:c r="L73" s="9">
        <x:f>SUM(L69:L72)</x:f>
        <x:v>114000</x:v>
      </x:c>
      <x:c r="M73" s="10">
        <x:f>SUM(M69:M72)</x:f>
        <x:v>1254000</x:v>
      </x:c>
      <x:c r="N73" s="11"/>
      <x:c r="V73" s="1"/>
    </x:row>
    <x:row r="74" spans="1:22" s="2" customFormat="1" ht="20.100000000000001" customHeight="1">
      <x:c r="A74" s="301" t="s">
        <x:v>149</x:v>
      </x:c>
      <x:c r="B74" s="3" t="s">
        <x:v>294</x:v>
      </x:c>
      <x:c r="C74" s="3" t="s">
        <x:v>149</x:v>
      </x:c>
      <x:c r="D74" s="4">
        <x:v>321100</x:v>
      </x:c>
      <x:c r="E74" s="4">
        <x:v>14000</x:v>
      </x:c>
      <x:c r="F74" s="5">
        <x:f t="shared" ref="F74:F83" si="13">+D74+E74</x:f>
        <x:v>335100</x:v>
      </x:c>
      <x:c r="G74" s="6"/>
      <x:c r="H74" s="301" t="s">
        <x:v>149</x:v>
      </x:c>
      <x:c r="I74" s="3" t="s">
        <x:v>248</x:v>
      </x:c>
      <x:c r="J74" s="3" t="s">
        <x:v>492</x:v>
      </x:c>
      <x:c r="K74" s="4">
        <x:v>724314</x:v>
      </x:c>
      <x:c r="L74" s="4"/>
      <x:c r="M74" s="5">
        <x:f>+K74+L74</x:f>
        <x:v>724314</x:v>
      </x:c>
      <x:c r="N74" s="6"/>
      <x:c r="V74" s="1"/>
    </x:row>
    <x:row r="75" spans="1:22" s="2" customFormat="1" ht="20.100000000000001" customHeight="1">
      <x:c r="A75" s="299"/>
      <x:c r="B75" s="3" t="s">
        <x:v>1680</x:v>
      </x:c>
      <x:c r="C75" s="3" t="s">
        <x:v>914</x:v>
      </x:c>
      <x:c r="D75" s="4">
        <x:v>100000</x:v>
      </x:c>
      <x:c r="E75" s="4">
        <x:f>+D75*0.1</x:f>
        <x:v>10000</x:v>
      </x:c>
      <x:c r="F75" s="5">
        <x:f t="shared" si="13"/>
        <x:v>110000</x:v>
      </x:c>
      <x:c r="G75" s="6"/>
      <x:c r="H75" s="299"/>
      <x:c r="I75" s="3" t="s">
        <x:v>284</x:v>
      </x:c>
      <x:c r="J75" s="3" t="s">
        <x:v>492</x:v>
      </x:c>
      <x:c r="K75" s="4">
        <x:v>450280</x:v>
      </x:c>
      <x:c r="L75" s="4"/>
      <x:c r="M75" s="5">
        <x:f t="shared" ref="M75:M77" si="14">+K75+L75</x:f>
        <x:v>450280</x:v>
      </x:c>
      <x:c r="N75" s="6"/>
      <x:c r="V75" s="1"/>
    </x:row>
    <x:row r="76" spans="1:22" s="2" customFormat="1" ht="20.100000000000001" customHeight="1">
      <x:c r="A76" s="299"/>
      <x:c r="B76" s="3" t="s">
        <x:v>883</x:v>
      </x:c>
      <x:c r="C76" s="3" t="s">
        <x:v>1417</x:v>
      </x:c>
      <x:c r="D76" s="4">
        <x:f>150000+150000+150000</x:f>
        <x:v>450000</x:v>
      </x:c>
      <x:c r="E76" s="4">
        <x:f>+D76*0.1</x:f>
        <x:v>45000</x:v>
      </x:c>
      <x:c r="F76" s="5">
        <x:f t="shared" si="13"/>
        <x:v>495000</x:v>
      </x:c>
      <x:c r="G76" s="6" t="s">
        <x:v>250</x:v>
      </x:c>
      <x:c r="H76" s="299"/>
      <x:c r="I76" s="3" t="s">
        <x:v>249</x:v>
      </x:c>
      <x:c r="J76" s="3" t="s">
        <x:v>608</x:v>
      </x:c>
      <x:c r="K76" s="4">
        <x:v>550000</x:v>
      </x:c>
      <x:c r="L76" s="4"/>
      <x:c r="M76" s="5">
        <x:f t="shared" si="14"/>
        <x:v>550000</x:v>
      </x:c>
      <x:c r="N76" s="6"/>
      <x:c r="V76" s="1"/>
    </x:row>
    <x:row r="77" spans="1:22" s="2" customFormat="1" ht="20.100000000000001" customHeight="1">
      <x:c r="A77" s="299"/>
      <x:c r="B77" s="3" t="s">
        <x:v>247</x:v>
      </x:c>
      <x:c r="C77" s="3" t="s">
        <x:v>231</x:v>
      </x:c>
      <x:c r="D77" s="4">
        <x:v>21000</x:v>
      </x:c>
      <x:c r="E77" s="4">
        <x:f>+D77*0.1</x:f>
        <x:v>2100</x:v>
      </x:c>
      <x:c r="F77" s="5">
        <x:f t="shared" si="13"/>
        <x:v>23100</x:v>
      </x:c>
      <x:c r="G77" s="6"/>
      <x:c r="H77" s="299"/>
      <x:c r="I77" s="3" t="s">
        <x:v>262</x:v>
      </x:c>
      <x:c r="J77" s="3" t="s">
        <x:v>530</x:v>
      </x:c>
      <x:c r="K77" s="4">
        <x:v>550000</x:v>
      </x:c>
      <x:c r="L77" s="4"/>
      <x:c r="M77" s="5">
        <x:f t="shared" si="14"/>
        <x:v>550000</x:v>
      </x:c>
      <x:c r="N77" s="6"/>
      <x:c r="V77" s="1"/>
    </x:row>
    <x:row r="78" spans="1:22" s="2" customFormat="1" ht="20.100000000000001" customHeight="1">
      <x:c r="A78" s="299"/>
      <x:c r="B78" s="3" t="s">
        <x:v>1442</x:v>
      </x:c>
      <x:c r="C78" s="3" t="s">
        <x:v>167</x:v>
      </x:c>
      <x:c r="D78" s="4">
        <x:v>190000</x:v>
      </x:c>
      <x:c r="E78" s="4">
        <x:f>+D78*0.1</x:f>
        <x:v>19000</x:v>
      </x:c>
      <x:c r="F78" s="5">
        <x:f t="shared" ref="F78:F79" si="15">+D78+E78</x:f>
        <x:v>209000</x:v>
      </x:c>
      <x:c r="G78" s="6"/>
      <x:c r="H78" s="299"/>
      <x:c r="I78" s="3" t="s">
        <x:v>289</x:v>
      </x:c>
      <x:c r="J78" s="3" t="s">
        <x:v>608</x:v>
      </x:c>
      <x:c r="K78" s="4">
        <x:v>5580000</x:v>
      </x:c>
      <x:c r="L78" s="4"/>
      <x:c r="M78" s="5">
        <x:f t="shared" ref="M78:M86" si="16">+K78+L78</x:f>
        <x:v>5580000</x:v>
      </x:c>
      <x:c r="N78" s="6" t="s">
        <x:v>525</x:v>
      </x:c>
      <x:c r="V78" s="1"/>
    </x:row>
    <x:row r="79" spans="1:22" s="2" customFormat="1" ht="20.100000000000001" customHeight="1">
      <x:c r="A79" s="299"/>
      <x:c r="B79" s="3" t="s">
        <x:v>1503</x:v>
      </x:c>
      <x:c r="C79" s="3" t="s">
        <x:v>1493</x:v>
      </x:c>
      <x:c r="D79" s="4">
        <x:v>140000</x:v>
      </x:c>
      <x:c r="E79" s="4">
        <x:f>+D79*0.1</x:f>
        <x:v>14000</x:v>
      </x:c>
      <x:c r="F79" s="5">
        <x:f t="shared" si="15"/>
        <x:v>154000</x:v>
      </x:c>
      <x:c r="G79" s="6"/>
      <x:c r="H79" s="299"/>
      <x:c r="I79" s="3" t="s">
        <x:v>1504</x:v>
      </x:c>
      <x:c r="J79" s="3" t="s">
        <x:v>882</x:v>
      </x:c>
      <x:c r="K79" s="4">
        <x:v>240000</x:v>
      </x:c>
      <x:c r="L79" s="4">
        <x:v>9600</x:v>
      </x:c>
      <x:c r="M79" s="5">
        <x:f t="shared" si="16"/>
        <x:v>249600</x:v>
      </x:c>
      <x:c r="N79" s="6" t="s">
        <x:v>241</x:v>
      </x:c>
      <x:c r="V79" s="1"/>
    </x:row>
    <x:row r="80" spans="1:22" s="2" customFormat="1" ht="20.100000000000001" customHeight="1">
      <x:c r="A80" s="299"/>
      <x:c r="B80" s="3"/>
      <x:c r="C80" s="3"/>
      <x:c r="D80" s="4"/>
      <x:c r="E80" s="4"/>
      <x:c r="F80" s="5">
        <x:f t="shared" si="13"/>
        <x:v>0</x:v>
      </x:c>
      <x:c r="G80" s="6"/>
      <x:c r="H80" s="299"/>
      <x:c r="I80" s="3" t="s">
        <x:v>947</x:v>
      </x:c>
      <x:c r="J80" s="3" t="s">
        <x:v>914</x:v>
      </x:c>
      <x:c r="K80" s="4">
        <x:v>100000</x:v>
      </x:c>
      <x:c r="L80" s="4">
        <x:f>+K80*0.1</x:f>
        <x:v>10000</x:v>
      </x:c>
      <x:c r="M80" s="5">
        <x:f t="shared" si="16"/>
        <x:v>110000</x:v>
      </x:c>
      <x:c r="N80" s="6"/>
      <x:c r="V80" s="1"/>
    </x:row>
    <x:row r="81" spans="1:22" s="2" customFormat="1" ht="20.100000000000001" customHeight="1">
      <x:c r="A81" s="299"/>
      <x:c r="B81" s="3"/>
      <x:c r="C81" s="3"/>
      <x:c r="D81" s="4"/>
      <x:c r="E81" s="4"/>
      <x:c r="F81" s="5">
        <x:f t="shared" si="13"/>
        <x:v>0</x:v>
      </x:c>
      <x:c r="G81" s="6"/>
      <x:c r="H81" s="299"/>
      <x:c r="I81" s="3" t="s">
        <x:v>883</x:v>
      </x:c>
      <x:c r="J81" s="3" t="s">
        <x:v>1417</x:v>
      </x:c>
      <x:c r="K81" s="4">
        <x:v>1030000</x:v>
      </x:c>
      <x:c r="L81" s="4">
        <x:f>+K81*0.1</x:f>
        <x:v>103000</x:v>
      </x:c>
      <x:c r="M81" s="5">
        <x:f t="shared" si="16"/>
        <x:v>1133000</x:v>
      </x:c>
      <x:c r="N81" s="6" t="s">
        <x:v>1489</x:v>
      </x:c>
      <x:c r="V81" s="1"/>
    </x:row>
    <x:row r="82" spans="1:22" s="2" customFormat="1" ht="20.100000000000001" customHeight="1">
      <x:c r="A82" s="299"/>
      <x:c r="B82" s="3"/>
      <x:c r="C82" s="3"/>
      <x:c r="D82" s="4"/>
      <x:c r="E82" s="4"/>
      <x:c r="F82" s="5">
        <x:f t="shared" si="13"/>
        <x:v>0</x:v>
      </x:c>
      <x:c r="G82" s="6"/>
      <x:c r="H82" s="299"/>
      <x:c r="I82" s="3" t="s">
        <x:v>1340</x:v>
      </x:c>
      <x:c r="J82" s="3" t="s">
        <x:v>28</x:v>
      </x:c>
      <x:c r="K82" s="4">
        <x:v>1369500</x:v>
      </x:c>
      <x:c r="L82" s="4">
        <x:f>+K82*0.1</x:f>
        <x:v>136950</x:v>
      </x:c>
      <x:c r="M82" s="5">
        <x:f t="shared" si="16"/>
        <x:v>1506450</x:v>
      </x:c>
      <x:c r="N82" s="6"/>
      <x:c r="V82" s="1"/>
    </x:row>
    <x:row r="83" spans="1:22" s="2" customFormat="1" ht="20.100000000000001" customHeight="1">
      <x:c r="A83" s="299"/>
      <x:c r="B83" s="3"/>
      <x:c r="C83" s="3"/>
      <x:c r="D83" s="4"/>
      <x:c r="E83" s="4"/>
      <x:c r="F83" s="5">
        <x:f t="shared" si="13"/>
        <x:v>0</x:v>
      </x:c>
      <x:c r="G83" s="6"/>
      <x:c r="H83" s="299"/>
      <x:c r="I83" s="3" t="s">
        <x:v>1513</x:v>
      </x:c>
      <x:c r="J83" s="3" t="s">
        <x:v>825</x:v>
      </x:c>
      <x:c r="K83" s="4">
        <x:f>702000+500000</x:f>
        <x:v>1202000</x:v>
      </x:c>
      <x:c r="L83" s="4">
        <x:f>+K83*0.1</x:f>
        <x:v>120200</x:v>
      </x:c>
      <x:c r="M83" s="5">
        <x:f t="shared" si="16"/>
        <x:v>1322200</x:v>
      </x:c>
      <x:c r="N83" s="6"/>
      <x:c r="V83" s="1"/>
    </x:row>
    <x:row r="84" spans="1:22" s="2" customFormat="1" ht="20.100000000000001" customHeight="1">
      <x:c r="A84" s="299"/>
      <x:c r="B84" s="3"/>
      <x:c r="C84" s="3"/>
      <x:c r="D84" s="4"/>
      <x:c r="E84" s="4"/>
      <x:c r="F84" s="5">
        <x:f>+D84+E84</x:f>
        <x:v>0</x:v>
      </x:c>
      <x:c r="G84" s="6"/>
      <x:c r="H84" s="299"/>
      <x:c r="I84" s="3" t="s">
        <x:v>247</x:v>
      </x:c>
      <x:c r="J84" s="3" t="s">
        <x:v>231</x:v>
      </x:c>
      <x:c r="K84" s="4">
        <x:f>6038+46000</x:f>
        <x:v>52038</x:v>
      </x:c>
      <x:c r="L84" s="4">
        <x:f>+K84*0.1-1</x:f>
        <x:v>5202.8000000000002</x:v>
      </x:c>
      <x:c r="M84" s="5">
        <x:f t="shared" si="16"/>
        <x:v>57240.800000000003</x:v>
      </x:c>
      <x:c r="N84" s="6" t="s">
        <x:v>1451</x:v>
      </x:c>
      <x:c r="V84" s="1"/>
    </x:row>
    <x:row r="85" spans="1:22" s="2" customFormat="1" ht="20.100000000000001" customHeight="1">
      <x:c r="A85" s="299"/>
      <x:c r="B85" s="3"/>
      <x:c r="C85" s="3"/>
      <x:c r="D85" s="4"/>
      <x:c r="E85" s="4"/>
      <x:c r="F85" s="5">
        <x:f>+D85+E85</x:f>
        <x:v>0</x:v>
      </x:c>
      <x:c r="G85" s="6"/>
      <x:c r="H85" s="299"/>
      <x:c r="I85" s="3" t="s">
        <x:v>926</x:v>
      </x:c>
      <x:c r="J85" s="3" t="s">
        <x:v>404</x:v>
      </x:c>
      <x:c r="K85" s="4">
        <x:v>385340</x:v>
      </x:c>
      <x:c r="L85" s="4"/>
      <x:c r="M85" s="5">
        <x:f t="shared" si="16"/>
        <x:v>385340</x:v>
      </x:c>
      <x:c r="N85" s="6"/>
      <x:c r="V85" s="1"/>
    </x:row>
    <x:row r="86" spans="1:22" s="2" customFormat="1" ht="20.100000000000001" customHeight="1">
      <x:c r="A86" s="300"/>
      <x:c r="B86" s="3"/>
      <x:c r="C86" s="3"/>
      <x:c r="D86" s="4"/>
      <x:c r="E86" s="4"/>
      <x:c r="F86" s="5">
        <x:f>+D86+E86</x:f>
        <x:v>0</x:v>
      </x:c>
      <x:c r="G86" s="6"/>
      <x:c r="H86" s="300"/>
      <x:c r="I86" s="3" t="s">
        <x:v>1429</x:v>
      </x:c>
      <x:c r="J86" s="3" t="s">
        <x:v>167</x:v>
      </x:c>
      <x:c r="K86" s="4"/>
      <x:c r="L86" s="4">
        <x:f>+K86*0.1</x:f>
        <x:v>0</x:v>
      </x:c>
      <x:c r="M86" s="5">
        <x:f t="shared" si="16"/>
        <x:v>0</x:v>
      </x:c>
      <x:c r="N86" s="6"/>
      <x:c r="V86" s="1"/>
    </x:row>
    <x:row r="87" spans="1:22" s="2" customFormat="1" ht="20.100000000000001" customHeight="1">
      <x:c r="A87" s="7"/>
      <x:c r="B87" s="8"/>
      <x:c r="C87" s="8"/>
      <x:c r="D87" s="9">
        <x:f>SUM(D74:D86)</x:f>
        <x:v>1222100</x:v>
      </x:c>
      <x:c r="E87" s="9">
        <x:f>SUM(E74:E86)</x:f>
        <x:v>104100</x:v>
      </x:c>
      <x:c r="F87" s="10">
        <x:f>SUM(F74:F86)</x:f>
        <x:v>1326200</x:v>
      </x:c>
      <x:c r="G87" s="11"/>
      <x:c r="H87" s="7" t="s">
        <x:v>155</x:v>
      </x:c>
      <x:c r="I87" s="8"/>
      <x:c r="J87" s="8"/>
      <x:c r="K87" s="9">
        <x:f>SUM(K74:K86)</x:f>
        <x:v>12233472</x:v>
      </x:c>
      <x:c r="L87" s="9">
        <x:f>SUM(L74:L86)</x:f>
        <x:v>384952.79999999999</x:v>
      </x:c>
      <x:c r="M87" s="10">
        <x:f>SUM(M74:M86)</x:f>
        <x:v>12618424.800000001</x:v>
      </x:c>
      <x:c r="N87" s="11"/>
      <x:c r="V87" s="1"/>
    </x:row>
    <x:row r="88" spans="1:22" s="2" customFormat="1" ht="20.100000000000001" customHeight="1">
      <x:c r="A88" s="12" t="s">
        <x:v>1690</x:v>
      </x:c>
      <x:c r="B88" s="13"/>
      <x:c r="C88" s="13"/>
      <x:c r="D88" s="14">
        <x:f>+D63+D68+D73+D87</x:f>
        <x:v>123725928</x:v>
      </x:c>
      <x:c r="E88" s="14">
        <x:f>+E63+E68+E73+E87</x:f>
        <x:v>5699882</x:v>
      </x:c>
      <x:c r="F88" s="15">
        <x:f>+F63+F68+F73+F87</x:f>
        <x:v>129425810</x:v>
      </x:c>
      <x:c r="G88" s="16"/>
      <x:c r="H88" s="12" t="s">
        <x:v>1690</x:v>
      </x:c>
      <x:c r="I88" s="13"/>
      <x:c r="J88" s="13"/>
      <x:c r="K88" s="14">
        <x:f>+K63+K68+K73+K87</x:f>
        <x:v>73355097</x:v>
      </x:c>
      <x:c r="L88" s="14">
        <x:f>+L63+L68+L73+L87</x:f>
        <x:v>2042114.8</x:v>
      </x:c>
      <x:c r="M88" s="15">
        <x:f>+M63+M68+M73+M87</x:f>
        <x:v>75397211.799999997</x:v>
      </x:c>
      <x:c r="N88" s="16"/>
      <x:c r="V88" s="1"/>
    </x:row>
    <x:row r="89" spans="1:22" s="2" customFormat="1" ht="20.100000000000001" customHeight="1">
      <x:c r="A89" s="23" t="s">
        <x:v>35</x:v>
      </x:c>
      <x:c r="B89" s="24"/>
      <x:c r="C89" s="24"/>
      <x:c r="D89" s="25">
        <x:f>+D46-D88</x:f>
        <x:v>-27006060</x:v>
      </x:c>
      <x:c r="E89" s="25">
        <x:f>+E46-E88</x:f>
        <x:v>3972104.8000000007</x:v>
      </x:c>
      <x:c r="F89" s="26">
        <x:f>+F46-F88</x:f>
        <x:v>-23033955.200000003</x:v>
      </x:c>
      <x:c r="G89" s="27"/>
      <x:c r="H89" s="23" t="s">
        <x:v>35</x:v>
      </x:c>
      <x:c r="I89" s="24"/>
      <x:c r="J89" s="24"/>
      <x:c r="K89" s="25">
        <x:f>+K46-K88</x:f>
        <x:v>65144903</x:v>
      </x:c>
      <x:c r="L89" s="25">
        <x:f>+L46-L88</x:f>
        <x:v>11807885.199999999</x:v>
      </x:c>
      <x:c r="M89" s="26">
        <x:f>+M46-M88</x:f>
        <x:v>76952788.200000003</x:v>
      </x:c>
      <x:c r="N89" s="27"/>
      <x:c r="V89" s="1"/>
    </x:row>
    <x:row r="90" spans="1:22" s="2" customFormat="1" ht="20.100000000000001" customHeight="1">
      <x:c r="A90" s="302" t="s">
        <x:v>415</x:v>
      </x:c>
      <x:c r="B90" s="303"/>
      <x:c r="C90" s="303"/>
      <x:c r="D90" s="303"/>
      <x:c r="E90" s="303"/>
      <x:c r="F90" s="304"/>
      <x:c r="G90" s="305"/>
      <x:c r="H90" s="302" t="s">
        <x:v>466</x:v>
      </x:c>
      <x:c r="I90" s="303"/>
      <x:c r="J90" s="303"/>
      <x:c r="K90" s="303"/>
      <x:c r="L90" s="303"/>
      <x:c r="M90" s="304"/>
      <x:c r="N90" s="305"/>
      <x:c r="V90" s="1"/>
    </x:row>
    <x:row r="91" spans="1:22" s="2" customFormat="1" ht="20.100000000000001" customHeight="1">
      <x:c r="A91" s="29" t="s">
        <x:v>147</x:v>
      </x:c>
      <x:c r="B91" s="216" t="s">
        <x:v>144</x:v>
      </x:c>
      <x:c r="C91" s="216" t="s">
        <x:v>150</x:v>
      </x:c>
      <x:c r="D91" s="31" t="s">
        <x:v>145</x:v>
      </x:c>
      <x:c r="E91" s="31" t="s">
        <x:v>152</x:v>
      </x:c>
      <x:c r="F91" s="31" t="s">
        <x:v>146</x:v>
      </x:c>
      <x:c r="G91" s="34" t="s">
        <x:v>154</x:v>
      </x:c>
      <x:c r="H91" s="29" t="s">
        <x:v>147</x:v>
      </x:c>
      <x:c r="I91" s="216" t="s">
        <x:v>144</x:v>
      </x:c>
      <x:c r="J91" s="216" t="s">
        <x:v>150</x:v>
      </x:c>
      <x:c r="K91" s="31" t="s">
        <x:v>145</x:v>
      </x:c>
      <x:c r="L91" s="31" t="s">
        <x:v>152</x:v>
      </x:c>
      <x:c r="M91" s="32" t="s">
        <x:v>146</x:v>
      </x:c>
      <x:c r="N91" s="33" t="s">
        <x:v>154</x:v>
      </x:c>
      <x:c r="V91" s="1"/>
    </x:row>
    <x:row r="92" spans="1:22" s="2" customFormat="1" ht="20.100000000000001" customHeight="1">
      <x:c r="A92" s="41" t="s">
        <x:v>151</x:v>
      </x:c>
      <x:c r="B92" s="38" t="s">
        <x:v>1679</x:v>
      </x:c>
      <x:c r="C92" s="38" t="s">
        <x:v>791</x:v>
      </x:c>
      <x:c r="D92" s="39">
        <x:v>85000000</x:v>
      </x:c>
      <x:c r="E92" s="39">
        <x:f>+D92*0.1</x:f>
        <x:v>8500000</x:v>
      </x:c>
      <x:c r="F92" s="40">
        <x:f>+D92+E92</x:f>
        <x:v>93500000</x:v>
      </x:c>
      <x:c r="G92" s="42"/>
      <x:c r="H92" s="215" t="s">
        <x:v>151</x:v>
      </x:c>
      <x:c r="I92" s="38" t="s">
        <x:v>1679</x:v>
      </x:c>
      <x:c r="J92" s="38" t="s">
        <x:v>791</x:v>
      </x:c>
      <x:c r="K92" s="39">
        <x:f>18000000+K103+K111</x:f>
        <x:v>30425000</x:v>
      </x:c>
      <x:c r="L92" s="39">
        <x:f>1800000+L103</x:f>
        <x:v>2617500</x:v>
      </x:c>
      <x:c r="M92" s="40">
        <x:f t="shared" ref="M92:M107" si="17">+K92+L92</x:f>
        <x:v>33042500</x:v>
      </x:c>
      <x:c r="N92" s="18" t="s">
        <x:v>1473</x:v>
      </x:c>
      <x:c r="V92" s="1"/>
    </x:row>
    <x:row r="93" spans="1:22" s="2" customFormat="1" ht="20.100000000000001" customHeight="1">
      <x:c r="A93" s="298" t="s">
        <x:v>148</x:v>
      </x:c>
      <x:c r="B93" s="19" t="s">
        <x:v>867</x:v>
      </x:c>
      <x:c r="C93" s="54" t="s">
        <x:v>384</x:v>
      </x:c>
      <x:c r="D93" s="20">
        <x:v>8555000</x:v>
      </x:c>
      <x:c r="E93" s="20">
        <x:f t="shared" ref="E93:E101" si="18">+INT(D93*0.1)</x:f>
        <x:v>855500</x:v>
      </x:c>
      <x:c r="F93" s="21">
        <x:f t="shared" ref="F93:F99" si="19">+D93+E93</x:f>
        <x:v>9410500</x:v>
      </x:c>
      <x:c r="G93" s="22"/>
      <x:c r="H93" s="298" t="s">
        <x:v>148</x:v>
      </x:c>
      <x:c r="I93" s="54" t="s">
        <x:v>867</x:v>
      </x:c>
      <x:c r="J93" s="54" t="s">
        <x:v>384</x:v>
      </x:c>
      <x:c r="K93" s="93">
        <x:v>4725000</x:v>
      </x:c>
      <x:c r="L93" s="93">
        <x:f t="shared" ref="L93:L101" si="20">+INT(K93*0.1)</x:f>
        <x:v>472500</x:v>
      </x:c>
      <x:c r="M93" s="94">
        <x:f t="shared" si="17"/>
        <x:v>5197500</x:v>
      </x:c>
      <x:c r="N93" s="95"/>
      <x:c r="V93" s="1"/>
    </x:row>
    <x:row r="94" spans="1:22" s="2" customFormat="1" ht="20.100000000000001" customHeight="1">
      <x:c r="A94" s="299"/>
      <x:c r="B94" s="3" t="s">
        <x:v>1315</x:v>
      </x:c>
      <x:c r="C94" s="3" t="s">
        <x:v>1711</x:v>
      </x:c>
      <x:c r="D94" s="4">
        <x:v>1306360</x:v>
      </x:c>
      <x:c r="E94" s="4">
        <x:f t="shared" si="18"/>
        <x:v>130636</x:v>
      </x:c>
      <x:c r="F94" s="5">
        <x:f t="shared" si="19"/>
        <x:v>1436996</x:v>
      </x:c>
      <x:c r="G94" s="6"/>
      <x:c r="H94" s="299"/>
      <x:c r="I94" s="162" t="s">
        <x:v>1348</x:v>
      </x:c>
      <x:c r="J94" s="162" t="s">
        <x:v>1279</x:v>
      </x:c>
      <x:c r="K94" s="163">
        <x:v>212000</x:v>
      </x:c>
      <x:c r="L94" s="163">
        <x:f t="shared" si="20"/>
        <x:v>21200</x:v>
      </x:c>
      <x:c r="M94" s="164">
        <x:f t="shared" si="17"/>
        <x:v>233200</x:v>
      </x:c>
      <x:c r="N94" s="158"/>
      <x:c r="V94" s="1"/>
    </x:row>
    <x:row r="95" spans="1:22" s="2" customFormat="1" ht="20.100000000000001" customHeight="1">
      <x:c r="A95" s="299"/>
      <x:c r="B95" s="3" t="s">
        <x:v>846</x:v>
      </x:c>
      <x:c r="C95" s="3" t="s">
        <x:v>1391</x:v>
      </x:c>
      <x:c r="D95" s="4">
        <x:v>1002630</x:v>
      </x:c>
      <x:c r="E95" s="4">
        <x:f t="shared" si="18"/>
        <x:v>100263</x:v>
      </x:c>
      <x:c r="F95" s="5">
        <x:f t="shared" si="19"/>
        <x:v>1102893</x:v>
      </x:c>
      <x:c r="G95" s="6"/>
      <x:c r="H95" s="299"/>
      <x:c r="I95" s="3" t="s">
        <x:v>902</x:v>
      </x:c>
      <x:c r="J95" s="3" t="s">
        <x:v>511</x:v>
      </x:c>
      <x:c r="K95" s="4">
        <x:v>756982</x:v>
      </x:c>
      <x:c r="L95" s="4">
        <x:f t="shared" si="20"/>
        <x:v>75698</x:v>
      </x:c>
      <x:c r="M95" s="5">
        <x:f t="shared" si="17"/>
        <x:v>832680</x:v>
      </x:c>
      <x:c r="N95" s="6"/>
      <x:c r="V95" s="1"/>
    </x:row>
    <x:row r="96" spans="1:22" s="2" customFormat="1" ht="20.100000000000001" customHeight="1">
      <x:c r="A96" s="299"/>
      <x:c r="B96" s="3" t="s">
        <x:v>938</x:v>
      </x:c>
      <x:c r="C96" s="3" t="s">
        <x:v>953</x:v>
      </x:c>
      <x:c r="D96" s="4">
        <x:v>860000</x:v>
      </x:c>
      <x:c r="E96" s="4">
        <x:f t="shared" si="18"/>
        <x:v>86000</x:v>
      </x:c>
      <x:c r="F96" s="5">
        <x:f t="shared" si="19"/>
        <x:v>946000</x:v>
      </x:c>
      <x:c r="G96" s="6"/>
      <x:c r="H96" s="299"/>
      <x:c r="I96" s="3" t="s">
        <x:v>938</x:v>
      </x:c>
      <x:c r="J96" s="3"/>
      <x:c r="K96" s="4"/>
      <x:c r="L96" s="4">
        <x:f t="shared" si="20"/>
        <x:v>0</x:v>
      </x:c>
      <x:c r="M96" s="5">
        <x:f t="shared" si="17"/>
        <x:v>0</x:v>
      </x:c>
      <x:c r="N96" s="6"/>
      <x:c r="V96" s="1"/>
    </x:row>
    <x:row r="97" spans="1:22" s="2" customFormat="1" ht="20.100000000000001" customHeight="1">
      <x:c r="A97" s="299"/>
      <x:c r="B97" s="3" t="s">
        <x:v>838</x:v>
      </x:c>
      <x:c r="C97" s="3" t="s">
        <x:v>1055</x:v>
      </x:c>
      <x:c r="D97" s="4">
        <x:v>990000</x:v>
      </x:c>
      <x:c r="E97" s="4">
        <x:f t="shared" si="18"/>
        <x:v>99000</x:v>
      </x:c>
      <x:c r="F97" s="5">
        <x:f t="shared" si="19"/>
        <x:v>1089000</x:v>
      </x:c>
      <x:c r="G97" s="6"/>
      <x:c r="H97" s="299"/>
      <x:c r="I97" s="3" t="s">
        <x:v>976</x:v>
      </x:c>
      <x:c r="J97" s="3" t="s">
        <x:v>528</x:v>
      </x:c>
      <x:c r="K97" s="4">
        <x:v>100000</x:v>
      </x:c>
      <x:c r="L97" s="4">
        <x:f t="shared" si="20"/>
        <x:v>10000</x:v>
      </x:c>
      <x:c r="M97" s="5">
        <x:f t="shared" si="17"/>
        <x:v>110000</x:v>
      </x:c>
      <x:c r="N97" s="6"/>
      <x:c r="V97" s="1"/>
    </x:row>
    <x:row r="98" spans="1:22" s="2" customFormat="1" ht="20.100000000000001" customHeight="1">
      <x:c r="A98" s="299"/>
      <x:c r="B98" s="3" t="s">
        <x:v>1378</x:v>
      </x:c>
      <x:c r="C98" s="3" t="s">
        <x:v>512</x:v>
      </x:c>
      <x:c r="D98" s="4">
        <x:v>913380</x:v>
      </x:c>
      <x:c r="E98" s="4">
        <x:f>+INT(D98*0.1)</x:f>
        <x:v>91338</x:v>
      </x:c>
      <x:c r="F98" s="5">
        <x:f t="shared" si="19"/>
        <x:v>1004718</x:v>
      </x:c>
      <x:c r="G98" s="6"/>
      <x:c r="H98" s="299"/>
      <x:c r="I98" s="3" t="s">
        <x:v>483</x:v>
      </x:c>
      <x:c r="J98" s="3"/>
      <x:c r="K98" s="4"/>
      <x:c r="L98" s="4">
        <x:f t="shared" si="20"/>
        <x:v>0</x:v>
      </x:c>
      <x:c r="M98" s="5">
        <x:f t="shared" si="17"/>
        <x:v>0</x:v>
      </x:c>
      <x:c r="N98" s="6"/>
      <x:c r="V98" s="1"/>
    </x:row>
    <x:row r="99" spans="1:22" s="2" customFormat="1" ht="20.100000000000001" customHeight="1">
      <x:c r="A99" s="299"/>
      <x:c r="B99" s="3" t="s">
        <x:v>1058</x:v>
      </x:c>
      <x:c r="C99" s="3" t="s">
        <x:v>748</x:v>
      </x:c>
      <x:c r="D99" s="4">
        <x:v>4093300</x:v>
      </x:c>
      <x:c r="E99" s="4">
        <x:f t="shared" si="18"/>
        <x:v>409330</x:v>
      </x:c>
      <x:c r="F99" s="5">
        <x:f t="shared" si="19"/>
        <x:v>4502630</x:v>
      </x:c>
      <x:c r="G99" s="6"/>
      <x:c r="H99" s="299"/>
      <x:c r="I99" s="3" t="s">
        <x:v>1378</x:v>
      </x:c>
      <x:c r="J99" s="3" t="s">
        <x:v>1452</x:v>
      </x:c>
      <x:c r="K99" s="4">
        <x:v>2041572</x:v>
      </x:c>
      <x:c r="L99" s="4">
        <x:f t="shared" si="20"/>
        <x:v>204157</x:v>
      </x:c>
      <x:c r="M99" s="5">
        <x:f t="shared" si="17"/>
        <x:v>2245729</x:v>
      </x:c>
      <x:c r="N99" s="6"/>
      <x:c r="V99" s="1"/>
    </x:row>
    <x:row r="100" spans="1:22" s="2" customFormat="1" ht="20.100000000000001" customHeight="1">
      <x:c r="A100" s="299"/>
      <x:c r="B100" s="3" t="s">
        <x:v>1119</x:v>
      </x:c>
      <x:c r="C100" s="3" t="s">
        <x:v>498</x:v>
      </x:c>
      <x:c r="D100" s="4">
        <x:v>91000</x:v>
      </x:c>
      <x:c r="E100" s="4">
        <x:f t="shared" si="18"/>
        <x:v>9100</x:v>
      </x:c>
      <x:c r="F100" s="5">
        <x:f>+D100+E100</x:f>
        <x:v>100100</x:v>
      </x:c>
      <x:c r="G100" s="6"/>
      <x:c r="H100" s="299"/>
      <x:c r="I100" s="3" t="s">
        <x:v>1058</x:v>
      </x:c>
      <x:c r="J100" s="3" t="s">
        <x:v>448</x:v>
      </x:c>
      <x:c r="K100" s="4">
        <x:v>300000</x:v>
      </x:c>
      <x:c r="L100" s="4">
        <x:f t="shared" si="20"/>
        <x:v>30000</x:v>
      </x:c>
      <x:c r="M100" s="5">
        <x:f t="shared" si="17"/>
        <x:v>330000</x:v>
      </x:c>
      <x:c r="N100" s="6"/>
      <x:c r="V100" s="1"/>
    </x:row>
    <x:row r="101" spans="1:22" s="2" customFormat="1" ht="20.100000000000001" customHeight="1">
      <x:c r="A101" s="299"/>
      <x:c r="B101" s="3" t="s">
        <x:v>1319</x:v>
      </x:c>
      <x:c r="C101" s="3" t="s">
        <x:v>1295</x:v>
      </x:c>
      <x:c r="D101" s="4">
        <x:v>45000</x:v>
      </x:c>
      <x:c r="E101" s="4">
        <x:f t="shared" si="18"/>
        <x:v>4500</x:v>
      </x:c>
      <x:c r="F101" s="5">
        <x:f t="shared" ref="F101:F108" si="21">+D101+E101</x:f>
        <x:v>49500</x:v>
      </x:c>
      <x:c r="G101" s="6"/>
      <x:c r="H101" s="299"/>
      <x:c r="I101" s="3" t="s">
        <x:v>1119</x:v>
      </x:c>
      <x:c r="J101" s="3" t="s">
        <x:v>718</x:v>
      </x:c>
      <x:c r="K101" s="4">
        <x:v>670000</x:v>
      </x:c>
      <x:c r="L101" s="4">
        <x:f t="shared" si="20"/>
        <x:v>67000</x:v>
      </x:c>
      <x:c r="M101" s="5">
        <x:f t="shared" si="17"/>
        <x:v>737000</x:v>
      </x:c>
      <x:c r="N101" s="6"/>
      <x:c r="V101" s="1"/>
    </x:row>
    <x:row r="102" spans="1:22" s="2" customFormat="1" ht="20.100000000000001" customHeight="1">
      <x:c r="A102" s="299"/>
      <x:c r="B102" s="3" t="s">
        <x:v>228</x:v>
      </x:c>
      <x:c r="C102" s="3" t="s">
        <x:v>1112</x:v>
      </x:c>
      <x:c r="D102" s="4">
        <x:v>28092900</x:v>
      </x:c>
      <x:c r="E102" s="4">
        <x:f t="shared" ref="E102:E108" si="22">+D102*0.1</x:f>
        <x:v>2809290</x:v>
      </x:c>
      <x:c r="F102" s="5">
        <x:f t="shared" si="21"/>
        <x:v>30902190</x:v>
      </x:c>
      <x:c r="G102" s="6"/>
      <x:c r="H102" s="299"/>
      <x:c r="I102" s="3" t="s">
        <x:v>846</x:v>
      </x:c>
      <x:c r="J102" s="3" t="s">
        <x:v>1466</x:v>
      </x:c>
      <x:c r="K102" s="4"/>
      <x:c r="L102" s="4">
        <x:f>+INT(K102*0.1)</x:f>
        <x:v>0</x:v>
      </x:c>
      <x:c r="M102" s="5">
        <x:f t="shared" si="17"/>
        <x:v>0</x:v>
      </x:c>
      <x:c r="N102" s="6"/>
      <x:c r="V102" s="1"/>
    </x:row>
    <x:row r="103" spans="1:22" s="2" customFormat="1" ht="20.100000000000001" customHeight="1">
      <x:c r="A103" s="299"/>
      <x:c r="B103" s="3" t="s">
        <x:v>1039</x:v>
      </x:c>
      <x:c r="C103" s="3" t="s">
        <x:v>1488</x:v>
      </x:c>
      <x:c r="D103" s="4">
        <x:v>2410000</x:v>
      </x:c>
      <x:c r="E103" s="4">
        <x:f t="shared" si="22"/>
        <x:v>241000</x:v>
      </x:c>
      <x:c r="F103" s="5">
        <x:f t="shared" si="21"/>
        <x:v>2651000</x:v>
      </x:c>
      <x:c r="G103" s="6"/>
      <x:c r="H103" s="299"/>
      <x:c r="I103" s="3" t="s">
        <x:v>867</x:v>
      </x:c>
      <x:c r="J103" s="3" t="s">
        <x:v>1691</x:v>
      </x:c>
      <x:c r="K103" s="4">
        <x:v>8175000</x:v>
      </x:c>
      <x:c r="L103" s="4">
        <x:f>+INT(K103*0.1)</x:f>
        <x:v>817500</x:v>
      </x:c>
      <x:c r="M103" s="5">
        <x:f t="shared" si="17"/>
        <x:v>8992500</x:v>
      </x:c>
      <x:c r="N103" s="37" t="s">
        <x:v>1325</x:v>
      </x:c>
      <x:c r="V103" s="1"/>
    </x:row>
    <x:row r="104" spans="1:22" s="2" customFormat="1" ht="20.100000000000001" customHeight="1">
      <x:c r="A104" s="299"/>
      <x:c r="B104" s="3" t="s">
        <x:v>1475</x:v>
      </x:c>
      <x:c r="C104" s="3" t="s">
        <x:v>244</x:v>
      </x:c>
      <x:c r="D104" s="4">
        <x:v>1000000</x:v>
      </x:c>
      <x:c r="E104" s="4">
        <x:f t="shared" si="22"/>
        <x:v>100000</x:v>
      </x:c>
      <x:c r="F104" s="5">
        <x:f t="shared" si="21"/>
        <x:v>1100000</x:v>
      </x:c>
      <x:c r="G104" s="6"/>
      <x:c r="H104" s="299"/>
      <x:c r="I104" s="3"/>
      <x:c r="J104" s="3"/>
      <x:c r="K104" s="4"/>
      <x:c r="L104" s="4"/>
      <x:c r="M104" s="5">
        <x:f t="shared" si="17"/>
        <x:v>0</x:v>
      </x:c>
      <x:c r="N104" s="6"/>
      <x:c r="V104" s="1"/>
    </x:row>
    <x:row r="105" spans="1:22" s="2" customFormat="1" ht="20.100000000000001" customHeight="1">
      <x:c r="A105" s="299"/>
      <x:c r="B105" s="3" t="s">
        <x:v>483</x:v>
      </x:c>
      <x:c r="C105" s="3" t="s">
        <x:v>1115</x:v>
      </x:c>
      <x:c r="D105" s="4">
        <x:v>4876600</x:v>
      </x:c>
      <x:c r="E105" s="4">
        <x:f t="shared" si="22"/>
        <x:v>487660</x:v>
      </x:c>
      <x:c r="F105" s="5">
        <x:f t="shared" si="21"/>
        <x:v>5364260</x:v>
      </x:c>
      <x:c r="G105" s="6"/>
      <x:c r="H105" s="299"/>
      <x:c r="I105" s="3"/>
      <x:c r="J105" s="3"/>
      <x:c r="K105" s="4"/>
      <x:c r="L105" s="4"/>
      <x:c r="M105" s="5">
        <x:f t="shared" si="17"/>
        <x:v>0</x:v>
      </x:c>
      <x:c r="N105" s="6"/>
      <x:c r="V105" s="1"/>
    </x:row>
    <x:row r="106" spans="1:22" s="2" customFormat="1" ht="20.100000000000001" customHeight="1">
      <x:c r="A106" s="299"/>
      <x:c r="B106" s="3" t="s">
        <x:v>1477</x:v>
      </x:c>
      <x:c r="C106" s="3" t="s">
        <x:v>1456</x:v>
      </x:c>
      <x:c r="D106" s="4">
        <x:v>2400000</x:v>
      </x:c>
      <x:c r="E106" s="4">
        <x:f t="shared" si="22"/>
        <x:v>240000</x:v>
      </x:c>
      <x:c r="F106" s="5">
        <x:f t="shared" si="21"/>
        <x:v>2640000</x:v>
      </x:c>
      <x:c r="G106" s="6"/>
      <x:c r="H106" s="299"/>
      <x:c r="I106" s="3"/>
      <x:c r="J106" s="3"/>
      <x:c r="K106" s="4"/>
      <x:c r="L106" s="4"/>
      <x:c r="M106" s="5">
        <x:f t="shared" si="17"/>
        <x:v>0</x:v>
      </x:c>
      <x:c r="N106" s="6"/>
      <x:c r="V106" s="1"/>
    </x:row>
    <x:row r="107" spans="1:22" s="2" customFormat="1" ht="20.100000000000001" customHeight="1">
      <x:c r="A107" s="299"/>
      <x:c r="B107" s="3" t="s">
        <x:v>515</x:v>
      </x:c>
      <x:c r="C107" s="3" t="s">
        <x:v>1093</x:v>
      </x:c>
      <x:c r="D107" s="4">
        <x:v>1639600</x:v>
      </x:c>
      <x:c r="E107" s="4">
        <x:f t="shared" si="22"/>
        <x:v>163960</x:v>
      </x:c>
      <x:c r="F107" s="5">
        <x:f t="shared" si="21"/>
        <x:v>1803560</x:v>
      </x:c>
      <x:c r="G107" s="6" t="s">
        <x:v>1457</x:v>
      </x:c>
      <x:c r="H107" s="299"/>
      <x:c r="I107" s="3"/>
      <x:c r="J107" s="3"/>
      <x:c r="K107" s="4"/>
      <x:c r="L107" s="4"/>
      <x:c r="M107" s="5">
        <x:f t="shared" si="17"/>
        <x:v>0</x:v>
      </x:c>
      <x:c r="N107" s="6"/>
      <x:c r="V107" s="1"/>
    </x:row>
    <x:row r="108" spans="1:22" s="2" customFormat="1" ht="20.100000000000001" customHeight="1">
      <x:c r="A108" s="299"/>
      <x:c r="B108" s="3" t="s">
        <x:v>1033</x:v>
      </x:c>
      <x:c r="C108" s="3" t="s">
        <x:v>1497</x:v>
      </x:c>
      <x:c r="D108" s="4">
        <x:v>396000</x:v>
      </x:c>
      <x:c r="E108" s="4">
        <x:f t="shared" si="22"/>
        <x:v>39600</x:v>
      </x:c>
      <x:c r="F108" s="5">
        <x:f t="shared" si="21"/>
        <x:v>435600</x:v>
      </x:c>
      <x:c r="G108" s="6"/>
      <x:c r="H108" s="300"/>
      <x:c r="I108" s="3"/>
      <x:c r="J108" s="3"/>
      <x:c r="K108" s="4"/>
      <x:c r="L108" s="4"/>
      <x:c r="M108" s="5"/>
      <x:c r="N108" s="6"/>
      <x:c r="V108" s="1"/>
    </x:row>
    <x:row r="109" spans="1:22" s="2" customFormat="1" ht="20.100000000000001" customHeight="1">
      <x:c r="A109" s="7"/>
      <x:c r="B109" s="8"/>
      <x:c r="C109" s="8"/>
      <x:c r="D109" s="9">
        <x:f>SUM(D93:D108)</x:f>
        <x:v>58671770</x:v>
      </x:c>
      <x:c r="E109" s="9">
        <x:f>SUM(E93:E108)</x:f>
        <x:v>5867177</x:v>
      </x:c>
      <x:c r="F109" s="10">
        <x:f>SUM(F93:F108)</x:f>
        <x:v>64538947</x:v>
      </x:c>
      <x:c r="G109" s="11"/>
      <x:c r="H109" s="7" t="s">
        <x:v>155</x:v>
      </x:c>
      <x:c r="I109" s="8"/>
      <x:c r="J109" s="8"/>
      <x:c r="K109" s="9">
        <x:f>SUM(K93:K108)</x:f>
        <x:v>16980554</x:v>
      </x:c>
      <x:c r="L109" s="9">
        <x:f>SUM(L93:L108)</x:f>
        <x:v>1698055</x:v>
      </x:c>
      <x:c r="M109" s="10">
        <x:f>SUM(M93:M108)</x:f>
        <x:v>18678609</x:v>
      </x:c>
      <x:c r="N109" s="11"/>
      <x:c r="V109" s="1"/>
    </x:row>
    <x:row r="110" spans="1:22" s="2" customFormat="1" ht="20.100000000000001" customHeight="1">
      <x:c r="A110" s="301" t="s">
        <x:v>153</x:v>
      </x:c>
      <x:c r="B110" s="3" t="s">
        <x:v>1677</x:v>
      </x:c>
      <x:c r="C110" s="3" t="s">
        <x:v>1096</x:v>
      </x:c>
      <x:c r="D110" s="4">
        <x:v>15450000</x:v>
      </x:c>
      <x:c r="E110" s="4"/>
      <x:c r="F110" s="5">
        <x:f>+D110+E110</x:f>
        <x:v>15450000</x:v>
      </x:c>
      <x:c r="G110" s="6"/>
      <x:c r="H110" s="301" t="s">
        <x:v>153</x:v>
      </x:c>
      <x:c r="I110" s="3" t="s">
        <x:v>1677</x:v>
      </x:c>
      <x:c r="J110" s="3" t="s">
        <x:v>1383</x:v>
      </x:c>
      <x:c r="K110" s="4">
        <x:f>19630000-K111</x:f>
        <x:v>15380000</x:v>
      </x:c>
      <x:c r="L110" s="44"/>
      <x:c r="M110" s="45">
        <x:f>+K110+L110</x:f>
        <x:v>15380000</x:v>
      </x:c>
      <x:c r="N110" s="37"/>
      <x:c r="V110" s="1"/>
    </x:row>
    <x:row r="111" spans="1:22" s="2" customFormat="1" ht="20.100000000000001" customHeight="1">
      <x:c r="A111" s="299"/>
      <x:c r="B111" s="3" t="s">
        <x:v>1241</x:v>
      </x:c>
      <x:c r="C111" s="3" t="s">
        <x:v>523</x:v>
      </x:c>
      <x:c r="D111" s="4">
        <x:v>9000000</x:v>
      </x:c>
      <x:c r="E111" s="4">
        <x:f>+D111*0.1</x:f>
        <x:v>900000</x:v>
      </x:c>
      <x:c r="F111" s="5">
        <x:f>+D111+E111</x:f>
        <x:v>9900000</x:v>
      </x:c>
      <x:c r="G111" s="6"/>
      <x:c r="H111" s="299"/>
      <x:c r="I111" s="3" t="s">
        <x:v>1677</x:v>
      </x:c>
      <x:c r="J111" s="3" t="s">
        <x:v>252</x:v>
      </x:c>
      <x:c r="K111" s="4">
        <x:v>4250000</x:v>
      </x:c>
      <x:c r="L111" s="44"/>
      <x:c r="M111" s="45">
        <x:f>+K111+L111</x:f>
        <x:v>4250000</x:v>
      </x:c>
      <x:c r="N111" s="37" t="s">
        <x:v>1325</x:v>
      </x:c>
      <x:c r="V111" s="1"/>
    </x:row>
    <x:row r="112" spans="1:22" s="2" customFormat="1" ht="20.100000000000001" customHeight="1">
      <x:c r="A112" s="299"/>
      <x:c r="B112" s="3" t="s">
        <x:v>1241</x:v>
      </x:c>
      <x:c r="C112" s="3" t="s">
        <x:v>1487</x:v>
      </x:c>
      <x:c r="D112" s="4">
        <x:v>7500000</x:v>
      </x:c>
      <x:c r="E112" s="4">
        <x:f>+D112*0.1</x:f>
        <x:v>750000</x:v>
      </x:c>
      <x:c r="F112" s="5">
        <x:f>+D112+E112</x:f>
        <x:v>8250000</x:v>
      </x:c>
      <x:c r="G112" s="6" t="s">
        <x:v>979</x:v>
      </x:c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  <x:c r="V112" s="1"/>
    </x:row>
    <x:row r="113" spans="1:22" s="2" customFormat="1" ht="20.100000000000001" customHeight="1">
      <x:c r="A113" s="300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300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  <x:c r="V113" s="1"/>
    </x:row>
    <x:row r="114" spans="1:22" s="2" customFormat="1" ht="20.100000000000001" customHeight="1">
      <x:c r="A114" s="7"/>
      <x:c r="B114" s="8"/>
      <x:c r="C114" s="8"/>
      <x:c r="D114" s="9">
        <x:f>SUM(D110:D113)</x:f>
        <x:v>31950000</x:v>
      </x:c>
      <x:c r="E114" s="9">
        <x:f>SUM(E110:E113)</x:f>
        <x:v>1650000</x:v>
      </x:c>
      <x:c r="F114" s="10">
        <x:f>SUM(F110:F113)</x:f>
        <x:v>33600000</x:v>
      </x:c>
      <x:c r="G114" s="11"/>
      <x:c r="H114" s="7" t="s">
        <x:v>155</x:v>
      </x:c>
      <x:c r="I114" s="8"/>
      <x:c r="J114" s="8"/>
      <x:c r="K114" s="9">
        <x:f>SUM(K110:K113)</x:f>
        <x:v>19630000</x:v>
      </x:c>
      <x:c r="L114" s="9">
        <x:f>SUM(L110:L113)</x:f>
        <x:v>0</x:v>
      </x:c>
      <x:c r="M114" s="10">
        <x:f>SUM(M110:M113)</x:f>
        <x:v>19630000</x:v>
      </x:c>
      <x:c r="N114" s="11"/>
      <x:c r="V114" s="1"/>
    </x:row>
    <x:row r="115" spans="1:22" s="2" customFormat="1" ht="20.100000000000001" customHeight="1">
      <x:c r="A115" s="301" t="s">
        <x:v>187</x:v>
      </x:c>
      <x:c r="B115" s="3" t="s">
        <x:v>1124</x:v>
      </x:c>
      <x:c r="C115" s="3" t="s">
        <x:v>1006</x:v>
      </x:c>
      <x:c r="D115" s="4">
        <x:v>1650000</x:v>
      </x:c>
      <x:c r="E115" s="4">
        <x:f>+D115*0.1</x:f>
        <x:v>165000</x:v>
      </x:c>
      <x:c r="F115" s="5">
        <x:f>+D115+E115</x:f>
        <x:v>1815000</x:v>
      </x:c>
      <x:c r="G115" s="6"/>
      <x:c r="H115" s="301" t="s">
        <x:v>187</x:v>
      </x:c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  <x:c r="V115" s="1"/>
    </x:row>
    <x:row r="116" spans="1:22" s="2" customFormat="1" ht="20.100000000000001" customHeight="1">
      <x:c r="A116" s="299"/>
      <x:c r="B116" s="3" t="s">
        <x:v>1454</x:v>
      </x:c>
      <x:c r="C116" s="3" t="s">
        <x:v>1478</x:v>
      </x:c>
      <x:c r="D116" s="4">
        <x:v>1800000</x:v>
      </x:c>
      <x:c r="E116" s="4">
        <x:f>+D116*0.1</x:f>
        <x:v>180000</x:v>
      </x:c>
      <x:c r="F116" s="5">
        <x:f>+D116+E116</x:f>
        <x:v>1980000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  <x:c r="V116" s="1"/>
    </x:row>
    <x:row r="117" spans="1:22" s="2" customFormat="1" ht="20.100000000000001" customHeight="1">
      <x:c r="A117" s="299"/>
      <x:c r="B117" s="3"/>
      <x:c r="C117" s="3"/>
      <x:c r="D117" s="4"/>
      <x:c r="E117" s="4">
        <x:f>+D117*0.1</x:f>
        <x:v>0</x:v>
      </x:c>
      <x:c r="F117" s="5">
        <x:f>+D117+E117</x:f>
        <x:v>0</x:v>
      </x:c>
      <x:c r="G117" s="6"/>
      <x:c r="H117" s="299"/>
      <x:c r="I117" s="3"/>
      <x:c r="J117" s="3"/>
      <x:c r="K117" s="4"/>
      <x:c r="L117" s="4">
        <x:f>+K117*0.1</x:f>
        <x:v>0</x:v>
      </x:c>
      <x:c r="M117" s="5">
        <x:f>+K117+L117</x:f>
        <x:v>0</x:v>
      </x:c>
      <x:c r="N117" s="6"/>
      <x:c r="V117" s="1"/>
    </x:row>
    <x:row r="118" spans="1:22" s="2" customFormat="1" ht="20.100000000000001" customHeight="1">
      <x:c r="A118" s="300"/>
      <x:c r="B118" s="3"/>
      <x:c r="C118" s="3"/>
      <x:c r="D118" s="4"/>
      <x:c r="E118" s="4">
        <x:f>+D118*0.1</x:f>
        <x:v>0</x:v>
      </x:c>
      <x:c r="F118" s="5">
        <x:f>+D118+E118</x:f>
        <x:v>0</x:v>
      </x:c>
      <x:c r="G118" s="6"/>
      <x:c r="H118" s="300"/>
      <x:c r="I118" s="3"/>
      <x:c r="J118" s="3"/>
      <x:c r="K118" s="4"/>
      <x:c r="L118" s="4">
        <x:f>+K118*0.1</x:f>
        <x:v>0</x:v>
      </x:c>
      <x:c r="M118" s="5">
        <x:f>+K118+L118</x:f>
        <x:v>0</x:v>
      </x:c>
      <x:c r="N118" s="6"/>
      <x:c r="V118" s="1"/>
    </x:row>
    <x:row r="119" spans="1:22" s="2" customFormat="1" ht="20.100000000000001" customHeight="1">
      <x:c r="A119" s="7"/>
      <x:c r="B119" s="8"/>
      <x:c r="C119" s="8"/>
      <x:c r="D119" s="9">
        <x:f>SUM(D115:D118)</x:f>
        <x:v>3450000</x:v>
      </x:c>
      <x:c r="E119" s="9">
        <x:f>SUM(E115:E118)</x:f>
        <x:v>345000</x:v>
      </x:c>
      <x:c r="F119" s="10">
        <x:f>SUM(F115:F118)</x:f>
        <x:v>3795000</x:v>
      </x:c>
      <x:c r="G119" s="11"/>
      <x:c r="H119" s="7" t="s">
        <x:v>155</x:v>
      </x:c>
      <x:c r="I119" s="8"/>
      <x:c r="J119" s="8"/>
      <x:c r="K119" s="9">
        <x:f>SUM(K115:K118)</x:f>
        <x:v>0</x:v>
      </x:c>
      <x:c r="L119" s="9">
        <x:f>SUM(L115:L118)</x:f>
        <x:v>0</x:v>
      </x:c>
      <x:c r="M119" s="10">
        <x:f>SUM(M115:M118)</x:f>
        <x:v>0</x:v>
      </x:c>
      <x:c r="N119" s="11"/>
      <x:c r="V119" s="1"/>
    </x:row>
    <x:row r="120" spans="1:22" s="2" customFormat="1" ht="20.100000000000001" customHeight="1">
      <x:c r="A120" s="301" t="s">
        <x:v>149</x:v>
      </x:c>
      <x:c r="B120" s="3" t="s">
        <x:v>177</x:v>
      </x:c>
      <x:c r="C120" s="3" t="s">
        <x:v>149</x:v>
      </x:c>
      <x:c r="D120" s="4">
        <x:v>560560</x:v>
      </x:c>
      <x:c r="E120" s="4"/>
      <x:c r="F120" s="5">
        <x:f t="shared" ref="F120:F126" si="23">+D120+E120</x:f>
        <x:v>560560</x:v>
      </x:c>
      <x:c r="G120" s="6"/>
      <x:c r="H120" s="301" t="s">
        <x:v>149</x:v>
      </x:c>
      <x:c r="I120" s="3" t="s">
        <x:v>177</x:v>
      </x:c>
      <x:c r="J120" s="3" t="s">
        <x:v>149</x:v>
      </x:c>
      <x:c r="K120" s="4">
        <x:v>353350</x:v>
      </x:c>
      <x:c r="L120" s="4"/>
      <x:c r="M120" s="5">
        <x:f t="shared" ref="M120:M129" si="24">+K120+L120</x:f>
        <x:v>353350</x:v>
      </x:c>
      <x:c r="N120" s="6"/>
      <x:c r="V120" s="1"/>
    </x:row>
    <x:row r="121" spans="1:22" s="2" customFormat="1" ht="20.100000000000001" customHeight="1">
      <x:c r="A121" s="299"/>
      <x:c r="B121" s="3" t="s">
        <x:v>601</x:v>
      </x:c>
      <x:c r="C121" s="3" t="s">
        <x:v>962</x:v>
      </x:c>
      <x:c r="D121" s="4">
        <x:v>672000</x:v>
      </x:c>
      <x:c r="E121" s="4">
        <x:f>+D121*0.1</x:f>
        <x:v>67200</x:v>
      </x:c>
      <x:c r="F121" s="5">
        <x:f t="shared" si="23"/>
        <x:v>739200</x:v>
      </x:c>
      <x:c r="G121" s="6"/>
      <x:c r="H121" s="299"/>
      <x:c r="I121" s="3" t="s">
        <x:v>1359</x:v>
      </x:c>
      <x:c r="J121" s="3" t="s">
        <x:v>1356</x:v>
      </x:c>
      <x:c r="K121" s="4">
        <x:v>642000</x:v>
      </x:c>
      <x:c r="L121" s="4">
        <x:f>+K121*0.1</x:f>
        <x:v>64200</x:v>
      </x:c>
      <x:c r="M121" s="5">
        <x:f t="shared" si="24"/>
        <x:v>706200</x:v>
      </x:c>
      <x:c r="N121" s="6"/>
      <x:c r="V121" s="1"/>
    </x:row>
    <x:row r="122" spans="1:22" s="2" customFormat="1" ht="20.100000000000001" customHeight="1">
      <x:c r="A122" s="299"/>
      <x:c r="B122" s="3" t="s">
        <x:v>926</x:v>
      </x:c>
      <x:c r="C122" s="3" t="s">
        <x:v>409</x:v>
      </x:c>
      <x:c r="D122" s="4">
        <x:v>367870</x:v>
      </x:c>
      <x:c r="E122" s="4"/>
      <x:c r="F122" s="5">
        <x:f t="shared" si="23"/>
        <x:v>367870</x:v>
      </x:c>
      <x:c r="G122" s="6"/>
      <x:c r="H122" s="299"/>
      <x:c r="I122" s="3"/>
      <x:c r="J122" s="3"/>
      <x:c r="K122" s="4"/>
      <x:c r="L122" s="4">
        <x:f>+K122*0.1</x:f>
        <x:v>0</x:v>
      </x:c>
      <x:c r="M122" s="5">
        <x:f t="shared" si="24"/>
        <x:v>0</x:v>
      </x:c>
      <x:c r="N122" s="6"/>
      <x:c r="V122" s="1"/>
    </x:row>
    <x:row r="123" spans="1:22" s="2" customFormat="1" ht="20.100000000000001" customHeight="1">
      <x:c r="A123" s="299"/>
      <x:c r="B123" s="3" t="s">
        <x:v>947</x:v>
      </x:c>
      <x:c r="C123" s="3" t="s">
        <x:v>914</x:v>
      </x:c>
      <x:c r="D123" s="4">
        <x:v>50000</x:v>
      </x:c>
      <x:c r="E123" s="4">
        <x:f>+D123*0.1</x:f>
        <x:v>5000</x:v>
      </x:c>
      <x:c r="F123" s="5">
        <x:f t="shared" si="23"/>
        <x:v>55000</x:v>
      </x:c>
      <x:c r="G123" s="6"/>
      <x:c r="H123" s="299"/>
      <x:c r="I123" s="3"/>
      <x:c r="J123" s="3"/>
      <x:c r="K123" s="4"/>
      <x:c r="L123" s="4"/>
      <x:c r="M123" s="5">
        <x:f t="shared" si="24"/>
        <x:v>0</x:v>
      </x:c>
      <x:c r="N123" s="6"/>
      <x:c r="V123" s="1"/>
    </x:row>
    <x:row r="124" spans="1:22" s="2" customFormat="1" ht="20.100000000000001" customHeight="1">
      <x:c r="A124" s="299"/>
      <x:c r="B124" s="3" t="s">
        <x:v>1327</x:v>
      </x:c>
      <x:c r="C124" s="3" t="s">
        <x:v>167</x:v>
      </x:c>
      <x:c r="D124" s="4">
        <x:v>25000</x:v>
      </x:c>
      <x:c r="E124" s="4">
        <x:f>+D124*0.1</x:f>
        <x:v>2500</x:v>
      </x:c>
      <x:c r="F124" s="5">
        <x:f t="shared" si="23"/>
        <x:v>27500</x:v>
      </x:c>
      <x:c r="G124" s="6"/>
      <x:c r="H124" s="299"/>
      <x:c r="I124" s="3"/>
      <x:c r="J124" s="3"/>
      <x:c r="K124" s="4"/>
      <x:c r="L124" s="4"/>
      <x:c r="M124" s="5">
        <x:f t="shared" si="24"/>
        <x:v>0</x:v>
      </x:c>
      <x:c r="N124" s="6"/>
      <x:c r="V124" s="1"/>
    </x:row>
    <x:row r="125" spans="1:22" s="2" customFormat="1" ht="20.100000000000001" customHeight="1">
      <x:c r="A125" s="299"/>
      <x:c r="B125" s="3" t="s">
        <x:v>247</x:v>
      </x:c>
      <x:c r="C125" s="3" t="s">
        <x:v>231</x:v>
      </x:c>
      <x:c r="D125" s="4">
        <x:v>20000</x:v>
      </x:c>
      <x:c r="E125" s="4">
        <x:f>+D125*0.1</x:f>
        <x:v>2000</x:v>
      </x:c>
      <x:c r="F125" s="5">
        <x:f t="shared" si="23"/>
        <x:v>22000</x:v>
      </x:c>
      <x:c r="G125" s="6"/>
      <x:c r="H125" s="299"/>
      <x:c r="I125" s="3"/>
      <x:c r="J125" s="3"/>
      <x:c r="K125" s="4"/>
      <x:c r="L125" s="4"/>
      <x:c r="M125" s="5">
        <x:f t="shared" si="24"/>
        <x:v>0</x:v>
      </x:c>
      <x:c r="N125" s="6"/>
      <x:c r="V125" s="1"/>
    </x:row>
    <x:row r="126" spans="1:22" s="2" customFormat="1" ht="20.100000000000001" customHeight="1">
      <x:c r="A126" s="299"/>
      <x:c r="B126" s="3" t="s">
        <x:v>1444</x:v>
      </x:c>
      <x:c r="C126" s="3" t="s">
        <x:v>817</x:v>
      </x:c>
      <x:c r="D126" s="4"/>
      <x:c r="E126" s="4">
        <x:f>+D126*0.1</x:f>
        <x:v>0</x:v>
      </x:c>
      <x:c r="F126" s="5">
        <x:f t="shared" si="23"/>
        <x:v>0</x:v>
      </x:c>
      <x:c r="G126" s="6"/>
      <x:c r="H126" s="299"/>
      <x:c r="I126" s="3"/>
      <x:c r="J126" s="3"/>
      <x:c r="K126" s="4"/>
      <x:c r="L126" s="4"/>
      <x:c r="M126" s="5">
        <x:f t="shared" si="24"/>
        <x:v>0</x:v>
      </x:c>
      <x:c r="N126" s="6"/>
      <x:c r="V126" s="1"/>
    </x:row>
    <x:row r="127" spans="1:22" s="2" customFormat="1" ht="20.100000000000001" customHeight="1">
      <x:c r="A127" s="299"/>
      <x:c r="B127" s="3"/>
      <x:c r="C127" s="3"/>
      <x:c r="D127" s="4"/>
      <x:c r="E127" s="4"/>
      <x:c r="F127" s="5"/>
      <x:c r="G127" s="6"/>
      <x:c r="H127" s="299"/>
      <x:c r="I127" s="3"/>
      <x:c r="J127" s="3"/>
      <x:c r="K127" s="4"/>
      <x:c r="L127" s="4"/>
      <x:c r="M127" s="5">
        <x:f t="shared" si="24"/>
        <x:v>0</x:v>
      </x:c>
      <x:c r="N127" s="6"/>
      <x:c r="V127" s="1"/>
    </x:row>
    <x:row r="128" spans="1:22" s="2" customFormat="1" ht="20.100000000000001" customHeight="1">
      <x:c r="A128" s="299"/>
      <x:c r="B128" s="3"/>
      <x:c r="C128" s="3"/>
      <x:c r="D128" s="4"/>
      <x:c r="E128" s="4"/>
      <x:c r="F128" s="5"/>
      <x:c r="G128" s="6"/>
      <x:c r="H128" s="299"/>
      <x:c r="I128" s="3"/>
      <x:c r="J128" s="3"/>
      <x:c r="K128" s="4"/>
      <x:c r="L128" s="4"/>
      <x:c r="M128" s="5">
        <x:f t="shared" si="24"/>
        <x:v>0</x:v>
      </x:c>
      <x:c r="N128" s="6"/>
      <x:c r="V128" s="1"/>
    </x:row>
    <x:row r="129" spans="1:22" s="2" customFormat="1" ht="20.100000000000001" customHeight="1">
      <x:c r="A129" s="300"/>
      <x:c r="B129" s="3"/>
      <x:c r="C129" s="3"/>
      <x:c r="D129" s="4"/>
      <x:c r="E129" s="4"/>
      <x:c r="F129" s="5"/>
      <x:c r="G129" s="6"/>
      <x:c r="H129" s="300"/>
      <x:c r="I129" s="3"/>
      <x:c r="J129" s="3"/>
      <x:c r="K129" s="4"/>
      <x:c r="L129" s="4"/>
      <x:c r="M129" s="5">
        <x:f t="shared" si="24"/>
        <x:v>0</x:v>
      </x:c>
      <x:c r="N129" s="6"/>
      <x:c r="V129" s="1"/>
    </x:row>
    <x:row r="130" spans="1:22" s="2" customFormat="1" ht="20.100000000000001" customHeight="1">
      <x:c r="A130" s="7"/>
      <x:c r="B130" s="8"/>
      <x:c r="C130" s="8"/>
      <x:c r="D130" s="9">
        <x:f>SUM(D120:D129)</x:f>
        <x:v>1695430</x:v>
      </x:c>
      <x:c r="E130" s="9">
        <x:f>SUM(E120:E129)</x:f>
        <x:v>76700</x:v>
      </x:c>
      <x:c r="F130" s="10">
        <x:f>SUM(F120:F129)</x:f>
        <x:v>1772130</x:v>
      </x:c>
      <x:c r="G130" s="11"/>
      <x:c r="H130" s="7" t="s">
        <x:v>155</x:v>
      </x:c>
      <x:c r="I130" s="8"/>
      <x:c r="J130" s="8"/>
      <x:c r="K130" s="9">
        <x:f>SUM(K120:K129)</x:f>
        <x:v>995350</x:v>
      </x:c>
      <x:c r="L130" s="9">
        <x:f>SUM(L120:L129)</x:f>
        <x:v>64200</x:v>
      </x:c>
      <x:c r="M130" s="10">
        <x:f>SUM(M120:M129)</x:f>
        <x:v>1059550</x:v>
      </x:c>
      <x:c r="N130" s="11"/>
      <x:c r="V130" s="1"/>
    </x:row>
    <x:row r="131" spans="1:22" s="2" customFormat="1" ht="20.100000000000001" customHeight="1">
      <x:c r="A131" s="12"/>
      <x:c r="B131" s="13"/>
      <x:c r="C131" s="13"/>
      <x:c r="D131" s="14">
        <x:f>+D109+D114+D119+D130</x:f>
        <x:v>95767200</x:v>
      </x:c>
      <x:c r="E131" s="14">
        <x:f>+E109+E114+E119+E130</x:f>
        <x:v>7938877</x:v>
      </x:c>
      <x:c r="F131" s="15">
        <x:f>+F109+F114+F119+F130</x:f>
        <x:v>103706077</x:v>
      </x:c>
      <x:c r="G131" s="16"/>
      <x:c r="H131" s="12" t="s">
        <x:v>1690</x:v>
      </x:c>
      <x:c r="I131" s="13"/>
      <x:c r="J131" s="13"/>
      <x:c r="K131" s="14">
        <x:f>+K109+K114+K119+K130</x:f>
        <x:v>37605904</x:v>
      </x:c>
      <x:c r="L131" s="14">
        <x:f>+L109+L114+L119+L130</x:f>
        <x:v>1762255</x:v>
      </x:c>
      <x:c r="M131" s="15">
        <x:f>+M109+M114+M119+M130</x:f>
        <x:v>39368159</x:v>
      </x:c>
      <x:c r="N131" s="16"/>
      <x:c r="V131" s="1"/>
    </x:row>
    <x:row r="132" spans="1:22" s="2" customFormat="1" ht="20.100000000000001" customHeight="1">
      <x:c r="A132" s="23"/>
      <x:c r="B132" s="24"/>
      <x:c r="C132" s="24"/>
      <x:c r="D132" s="25">
        <x:f>+D92-D131</x:f>
        <x:v>-10767200</x:v>
      </x:c>
      <x:c r="E132" s="25">
        <x:f>+E92-E131</x:f>
        <x:v>561123</x:v>
      </x:c>
      <x:c r="F132" s="26">
        <x:f>+F92-F131</x:f>
        <x:v>-10206077</x:v>
      </x:c>
      <x:c r="G132" s="27"/>
      <x:c r="H132" s="23" t="s">
        <x:v>35</x:v>
      </x:c>
      <x:c r="I132" s="24"/>
      <x:c r="J132" s="24"/>
      <x:c r="K132" s="25">
        <x:f>+K92-K131</x:f>
        <x:v>-7180904</x:v>
      </x:c>
      <x:c r="L132" s="25">
        <x:f>+L92-L131</x:f>
        <x:v>855245</x:v>
      </x:c>
      <x:c r="M132" s="26">
        <x:f>+M92-M131</x:f>
        <x:v>-6325659</x:v>
      </x:c>
      <x:c r="N132" s="27"/>
      <x:c r="V132" s="1"/>
    </x:row>
    <x:row r="133" spans="1:22" s="2" customFormat="1" ht="20.100000000000001" customHeight="1">
      <x:c r="A133" s="302" t="s">
        <x:v>423</x:v>
      </x:c>
      <x:c r="B133" s="303"/>
      <x:c r="C133" s="303"/>
      <x:c r="D133" s="303"/>
      <x:c r="E133" s="303"/>
      <x:c r="F133" s="304"/>
      <x:c r="G133" s="305"/>
      <x:c r="H133" s="302" t="s">
        <x:v>494</x:v>
      </x:c>
      <x:c r="I133" s="303"/>
      <x:c r="J133" s="303"/>
      <x:c r="K133" s="303"/>
      <x:c r="L133" s="303"/>
      <x:c r="M133" s="304"/>
      <x:c r="N133" s="305"/>
      <x:c r="V133" s="1"/>
    </x:row>
    <x:row r="134" spans="1:22" s="2" customFormat="1" ht="20.100000000000001" customHeight="1">
      <x:c r="A134" s="29" t="s">
        <x:v>147</x:v>
      </x:c>
      <x:c r="B134" s="216" t="s">
        <x:v>144</x:v>
      </x:c>
      <x:c r="C134" s="216" t="s">
        <x:v>150</x:v>
      </x:c>
      <x:c r="D134" s="31" t="s">
        <x:v>145</x:v>
      </x:c>
      <x:c r="E134" s="31" t="s">
        <x:v>152</x:v>
      </x:c>
      <x:c r="F134" s="32" t="s">
        <x:v>146</x:v>
      </x:c>
      <x:c r="G134" s="33" t="s">
        <x:v>154</x:v>
      </x:c>
      <x:c r="H134" s="29" t="s">
        <x:v>147</x:v>
      </x:c>
      <x:c r="I134" s="216" t="s">
        <x:v>144</x:v>
      </x:c>
      <x:c r="J134" s="216" t="s">
        <x:v>150</x:v>
      </x:c>
      <x:c r="K134" s="31" t="s">
        <x:v>145</x:v>
      </x:c>
      <x:c r="L134" s="31" t="s">
        <x:v>152</x:v>
      </x:c>
      <x:c r="M134" s="31" t="s">
        <x:v>146</x:v>
      </x:c>
      <x:c r="N134" s="34" t="s">
        <x:v>154</x:v>
      </x:c>
      <x:c r="V134" s="1"/>
    </x:row>
    <x:row r="135" spans="1:22" s="2" customFormat="1" ht="20.100000000000001" customHeight="1">
      <x:c r="A135" s="215" t="s">
        <x:v>151</x:v>
      </x:c>
      <x:c r="B135" s="38" t="s">
        <x:v>1679</x:v>
      </x:c>
      <x:c r="C135" s="38" t="s">
        <x:v>156</x:v>
      </x:c>
      <x:c r="D135" s="39">
        <x:v>70920000</x:v>
      </x:c>
      <x:c r="E135" s="39">
        <x:f>+D135*0.1</x:f>
        <x:v>7092000</x:v>
      </x:c>
      <x:c r="F135" s="40">
        <x:f t="shared" ref="F135:F150" si="25">+D135+E135</x:f>
        <x:v>78012000</x:v>
      </x:c>
      <x:c r="G135" s="18"/>
      <x:c r="H135" s="41" t="s">
        <x:v>151</x:v>
      </x:c>
      <x:c r="I135" s="38" t="s">
        <x:v>1679</x:v>
      </x:c>
      <x:c r="J135" s="38" t="s">
        <x:v>1030</x:v>
      </x:c>
      <x:c r="K135" s="39"/>
      <x:c r="L135" s="39"/>
      <x:c r="M135" s="40">
        <x:f>+K135+L135</x:f>
        <x:v>0</x:v>
      </x:c>
      <x:c r="N135" s="42"/>
      <x:c r="V135" s="1"/>
    </x:row>
    <x:row r="136" spans="1:22" s="2" customFormat="1" ht="20.100000000000001" customHeight="1">
      <x:c r="A136" s="298" t="s">
        <x:v>148</x:v>
      </x:c>
      <x:c r="B136" s="54" t="s">
        <x:v>1329</x:v>
      </x:c>
      <x:c r="C136" s="54" t="s">
        <x:v>1112</x:v>
      </x:c>
      <x:c r="D136" s="93"/>
      <x:c r="E136" s="93">
        <x:f t="shared" ref="E136:E148" si="26">+INT(D136*0.1)</x:f>
        <x:v>0</x:v>
      </x:c>
      <x:c r="F136" s="94">
        <x:f t="shared" si="25"/>
        <x:v>0</x:v>
      </x:c>
      <x:c r="G136" s="95" t="s">
        <x:v>273</x:v>
      </x:c>
      <x:c r="H136" s="298" t="s">
        <x:v>148</x:v>
      </x:c>
      <x:c r="I136" s="19" t="s">
        <x:v>867</x:v>
      </x:c>
      <x:c r="J136" s="19" t="s">
        <x:v>1287</x:v>
      </x:c>
      <x:c r="K136" s="20">
        <x:v>5197250</x:v>
      </x:c>
      <x:c r="L136" s="20">
        <x:f>+K136*0.1</x:f>
        <x:v>519725</x:v>
      </x:c>
      <x:c r="M136" s="21">
        <x:f t="shared" ref="M136:M151" si="27">+K136+L136</x:f>
        <x:v>5716975</x:v>
      </x:c>
      <x:c r="N136" s="22"/>
      <x:c r="V136" s="1"/>
    </x:row>
    <x:row r="137" spans="1:22" s="2" customFormat="1" ht="20.100000000000001" customHeight="1">
      <x:c r="A137" s="299"/>
      <x:c r="B137" s="162" t="s">
        <x:v>1358</x:v>
      </x:c>
      <x:c r="C137" s="162"/>
      <x:c r="D137" s="163"/>
      <x:c r="E137" s="4">
        <x:f t="shared" si="26"/>
        <x:v>0</x:v>
      </x:c>
      <x:c r="F137" s="193">
        <x:f t="shared" si="25"/>
        <x:v>0</x:v>
      </x:c>
      <x:c r="G137" s="180" t="s">
        <x:v>258</x:v>
      </x:c>
      <x:c r="H137" s="299"/>
      <x:c r="I137" s="3" t="s">
        <x:v>1348</x:v>
      </x:c>
      <x:c r="J137" s="3" t="s">
        <x:v>452</x:v>
      </x:c>
      <x:c r="K137" s="4">
        <x:v>2140900</x:v>
      </x:c>
      <x:c r="L137" s="4">
        <x:f>K137*0.1</x:f>
        <x:v>214090</x:v>
      </x:c>
      <x:c r="M137" s="5">
        <x:f t="shared" si="27"/>
        <x:v>2354990</x:v>
      </x:c>
      <x:c r="N137" s="6"/>
      <x:c r="V137" s="1"/>
    </x:row>
    <x:row r="138" spans="1:22" s="2" customFormat="1" ht="20.100000000000001" customHeight="1">
      <x:c r="A138" s="299"/>
      <x:c r="B138" s="3" t="s">
        <x:v>1362</x:v>
      </x:c>
      <x:c r="C138" s="3"/>
      <x:c r="D138" s="4"/>
      <x:c r="E138" s="4">
        <x:f t="shared" si="26"/>
        <x:v>0</x:v>
      </x:c>
      <x:c r="F138" s="194">
        <x:f t="shared" si="25"/>
        <x:v>0</x:v>
      </x:c>
      <x:c r="G138" s="180" t="s">
        <x:v>258</x:v>
      </x:c>
      <x:c r="H138" s="299"/>
      <x:c r="I138" s="3" t="s">
        <x:v>838</x:v>
      </x:c>
      <x:c r="J138" s="3" t="s">
        <x:v>1116</x:v>
      </x:c>
      <x:c r="K138" s="4">
        <x:v>905000</x:v>
      </x:c>
      <x:c r="L138" s="4">
        <x:f>+K138*0.1</x:f>
        <x:v>90500</x:v>
      </x:c>
      <x:c r="M138" s="5">
        <x:f t="shared" si="27"/>
        <x:v>995500</x:v>
      </x:c>
      <x:c r="N138" s="6"/>
      <x:c r="V138" s="1"/>
    </x:row>
    <x:row r="139" spans="1:22" s="2" customFormat="1" ht="20.100000000000001" customHeight="1">
      <x:c r="A139" s="299"/>
      <x:c r="B139" s="3" t="s">
        <x:v>1363</x:v>
      </x:c>
      <x:c r="C139" s="3"/>
      <x:c r="D139" s="4"/>
      <x:c r="E139" s="4">
        <x:f t="shared" si="26"/>
        <x:v>0</x:v>
      </x:c>
      <x:c r="F139" s="194">
        <x:f t="shared" si="25"/>
        <x:v>0</x:v>
      </x:c>
      <x:c r="G139" s="180" t="s">
        <x:v>258</x:v>
      </x:c>
      <x:c r="H139" s="299"/>
      <x:c r="I139" s="3" t="s">
        <x:v>938</x:v>
      </x:c>
      <x:c r="J139" s="3" t="s">
        <x:v>953</x:v>
      </x:c>
      <x:c r="K139" s="4">
        <x:v>1095000</x:v>
      </x:c>
      <x:c r="L139" s="4">
        <x:f>+K139*0.1</x:f>
        <x:v>109500</x:v>
      </x:c>
      <x:c r="M139" s="5">
        <x:f>+K139+L139</x:f>
        <x:v>1204500</x:v>
      </x:c>
      <x:c r="N139" s="6"/>
      <x:c r="V139" s="1"/>
    </x:row>
    <x:row r="140" spans="1:22" s="2" customFormat="1" ht="20.100000000000001" customHeight="1">
      <x:c r="A140" s="299"/>
      <x:c r="B140" s="3" t="s">
        <x:v>1372</x:v>
      </x:c>
      <x:c r="C140" s="3" t="s">
        <x:v>1405</x:v>
      </x:c>
      <x:c r="D140" s="4">
        <x:v>4145000</x:v>
      </x:c>
      <x:c r="E140" s="4">
        <x:f t="shared" si="26"/>
        <x:v>414500</x:v>
      </x:c>
      <x:c r="F140" s="194">
        <x:f t="shared" si="25"/>
        <x:v>4559500</x:v>
      </x:c>
      <x:c r="G140" s="180" t="s">
        <x:v>258</x:v>
      </x:c>
      <x:c r="H140" s="299"/>
      <x:c r="I140" s="3" t="s">
        <x:v>846</x:v>
      </x:c>
      <x:c r="J140" s="3" t="s">
        <x:v>1502</x:v>
      </x:c>
      <x:c r="K140" s="4">
        <x:v>54000</x:v>
      </x:c>
      <x:c r="L140" s="4">
        <x:f>+K140*0.1</x:f>
        <x:v>5400</x:v>
      </x:c>
      <x:c r="M140" s="5">
        <x:f t="shared" si="27"/>
        <x:v>59400</x:v>
      </x:c>
      <x:c r="N140" s="6"/>
      <x:c r="V140" s="1"/>
    </x:row>
    <x:row r="141" spans="1:22" s="2" customFormat="1" ht="20.100000000000001" customHeight="1">
      <x:c r="A141" s="299"/>
      <x:c r="B141" s="3" t="s">
        <x:v>1380</x:v>
      </x:c>
      <x:c r="C141" s="3" t="s">
        <x:v>1377</x:v>
      </x:c>
      <x:c r="D141" s="4">
        <x:v>2120000</x:v>
      </x:c>
      <x:c r="E141" s="4">
        <x:f t="shared" si="26"/>
        <x:v>212000</x:v>
      </x:c>
      <x:c r="F141" s="194">
        <x:f t="shared" si="25"/>
        <x:v>2332000</x:v>
      </x:c>
      <x:c r="G141" s="180" t="s">
        <x:v>258</x:v>
      </x:c>
      <x:c r="H141" s="299"/>
      <x:c r="I141" s="3"/>
      <x:c r="J141" s="3"/>
      <x:c r="K141" s="4"/>
      <x:c r="L141" s="4">
        <x:f t="shared" ref="L141:L151" si="28">+K141*0.1</x:f>
        <x:v>0</x:v>
      </x:c>
      <x:c r="M141" s="5">
        <x:f t="shared" si="27"/>
        <x:v>0</x:v>
      </x:c>
      <x:c r="N141" s="6"/>
      <x:c r="V141" s="1"/>
    </x:row>
    <x:row r="142" spans="1:22" s="2" customFormat="1" ht="20.100000000000001" customHeight="1">
      <x:c r="A142" s="299"/>
      <x:c r="B142" s="3" t="s">
        <x:v>938</x:v>
      </x:c>
      <x:c r="C142" s="3"/>
      <x:c r="D142" s="4"/>
      <x:c r="E142" s="4">
        <x:f t="shared" si="26"/>
        <x:v>0</x:v>
      </x:c>
      <x:c r="F142" s="194">
        <x:f t="shared" si="25"/>
        <x:v>0</x:v>
      </x:c>
      <x:c r="G142" s="6" t="s">
        <x:v>273</x:v>
      </x:c>
      <x:c r="H142" s="299"/>
      <x:c r="I142" s="3"/>
      <x:c r="J142" s="3"/>
      <x:c r="K142" s="4"/>
      <x:c r="L142" s="4">
        <x:f t="shared" si="28"/>
        <x:v>0</x:v>
      </x:c>
      <x:c r="M142" s="5">
        <x:f t="shared" si="27"/>
        <x:v>0</x:v>
      </x:c>
      <x:c r="N142" s="6"/>
      <x:c r="V142" s="1"/>
    </x:row>
    <x:row r="143" spans="1:22" s="2" customFormat="1" ht="20.100000000000001" customHeight="1">
      <x:c r="A143" s="299"/>
      <x:c r="B143" s="3" t="s">
        <x:v>1418</x:v>
      </x:c>
      <x:c r="C143" s="3"/>
      <x:c r="D143" s="4"/>
      <x:c r="E143" s="4">
        <x:f t="shared" si="26"/>
        <x:v>0</x:v>
      </x:c>
      <x:c r="F143" s="194">
        <x:f t="shared" si="25"/>
        <x:v>0</x:v>
      </x:c>
      <x:c r="G143" s="180" t="s">
        <x:v>258</x:v>
      </x:c>
      <x:c r="H143" s="299"/>
      <x:c r="I143" s="3"/>
      <x:c r="J143" s="3"/>
      <x:c r="K143" s="4"/>
      <x:c r="L143" s="4">
        <x:f t="shared" si="28"/>
        <x:v>0</x:v>
      </x:c>
      <x:c r="M143" s="5">
        <x:f t="shared" si="27"/>
        <x:v>0</x:v>
      </x:c>
      <x:c r="N143" s="6"/>
      <x:c r="V143" s="1"/>
    </x:row>
    <x:row r="144" spans="1:22" s="2" customFormat="1" ht="20.100000000000001" customHeight="1">
      <x:c r="A144" s="299"/>
      <x:c r="B144" s="3" t="s">
        <x:v>1406</x:v>
      </x:c>
      <x:c r="C144" s="3"/>
      <x:c r="D144" s="4"/>
      <x:c r="E144" s="4">
        <x:f t="shared" si="26"/>
        <x:v>0</x:v>
      </x:c>
      <x:c r="F144" s="194">
        <x:f t="shared" si="25"/>
        <x:v>0</x:v>
      </x:c>
      <x:c r="G144" s="180" t="s">
        <x:v>258</x:v>
      </x:c>
      <x:c r="H144" s="299"/>
      <x:c r="I144" s="3"/>
      <x:c r="J144" s="3"/>
      <x:c r="K144" s="4"/>
      <x:c r="L144" s="4"/>
      <x:c r="M144" s="5"/>
      <x:c r="N144" s="6"/>
      <x:c r="V144" s="1"/>
    </x:row>
    <x:row r="145" spans="1:22" s="2" customFormat="1" ht="20.100000000000001" customHeight="1">
      <x:c r="A145" s="299"/>
      <x:c r="B145" s="3" t="s">
        <x:v>276</x:v>
      </x:c>
      <x:c r="C145" s="3"/>
      <x:c r="D145" s="4"/>
      <x:c r="E145" s="4">
        <x:f t="shared" si="26"/>
        <x:v>0</x:v>
      </x:c>
      <x:c r="F145" s="194">
        <x:f t="shared" si="25"/>
        <x:v>0</x:v>
      </x:c>
      <x:c r="G145" s="180" t="s">
        <x:v>258</x:v>
      </x:c>
      <x:c r="H145" s="299"/>
      <x:c r="I145" s="3"/>
      <x:c r="J145" s="3"/>
      <x:c r="K145" s="4"/>
      <x:c r="L145" s="4">
        <x:f t="shared" si="28"/>
        <x:v>0</x:v>
      </x:c>
      <x:c r="M145" s="5">
        <x:f t="shared" si="27"/>
        <x:v>0</x:v>
      </x:c>
      <x:c r="N145" s="6"/>
      <x:c r="V145" s="1"/>
    </x:row>
    <x:row r="146" spans="1:22" s="2" customFormat="1" ht="20.100000000000001" customHeight="1">
      <x:c r="A146" s="299"/>
      <x:c r="B146" s="3" t="s">
        <x:v>1400</x:v>
      </x:c>
      <x:c r="C146" s="3"/>
      <x:c r="D146" s="4"/>
      <x:c r="E146" s="4">
        <x:f t="shared" si="26"/>
        <x:v>0</x:v>
      </x:c>
      <x:c r="F146" s="194">
        <x:f t="shared" si="25"/>
        <x:v>0</x:v>
      </x:c>
      <x:c r="G146" s="6" t="s">
        <x:v>273</x:v>
      </x:c>
      <x:c r="H146" s="299"/>
      <x:c r="I146" s="3"/>
      <x:c r="J146" s="3"/>
      <x:c r="K146" s="4"/>
      <x:c r="L146" s="4">
        <x:f t="shared" si="28"/>
        <x:v>0</x:v>
      </x:c>
      <x:c r="M146" s="5">
        <x:f t="shared" si="27"/>
        <x:v>0</x:v>
      </x:c>
      <x:c r="N146" s="6"/>
      <x:c r="V146" s="1"/>
    </x:row>
    <x:row r="147" spans="1:22" s="2" customFormat="1" ht="20.100000000000001" customHeight="1">
      <x:c r="A147" s="299"/>
      <x:c r="B147" s="3" t="s">
        <x:v>1448</x:v>
      </x:c>
      <x:c r="C147" s="3" t="s">
        <x:v>272</x:v>
      </x:c>
      <x:c r="D147" s="4">
        <x:v>1600000</x:v>
      </x:c>
      <x:c r="E147" s="4">
        <x:f t="shared" si="26"/>
        <x:v>160000</x:v>
      </x:c>
      <x:c r="F147" s="5">
        <x:f t="shared" si="25"/>
        <x:v>1760000</x:v>
      </x:c>
      <x:c r="G147" s="6" t="s">
        <x:v>273</x:v>
      </x:c>
      <x:c r="H147" s="299"/>
      <x:c r="I147" s="3"/>
      <x:c r="J147" s="3"/>
      <x:c r="K147" s="4"/>
      <x:c r="L147" s="4">
        <x:f t="shared" si="28"/>
        <x:v>0</x:v>
      </x:c>
      <x:c r="M147" s="5">
        <x:f t="shared" si="27"/>
        <x:v>0</x:v>
      </x:c>
      <x:c r="N147" s="6"/>
      <x:c r="V147" s="1"/>
    </x:row>
    <x:row r="148" spans="1:22" s="2" customFormat="1" ht="20.100000000000001" customHeight="1">
      <x:c r="A148" s="299"/>
      <x:c r="B148" s="3" t="s">
        <x:v>1434</x:v>
      </x:c>
      <x:c r="C148" s="3"/>
      <x:c r="D148" s="4"/>
      <x:c r="E148" s="4">
        <x:f t="shared" si="26"/>
        <x:v>0</x:v>
      </x:c>
      <x:c r="F148" s="5">
        <x:f t="shared" si="25"/>
        <x:v>0</x:v>
      </x:c>
      <x:c r="G148" s="6" t="s">
        <x:v>507</x:v>
      </x:c>
      <x:c r="H148" s="299"/>
      <x:c r="I148" s="3"/>
      <x:c r="J148" s="3"/>
      <x:c r="K148" s="4"/>
      <x:c r="L148" s="4">
        <x:f t="shared" si="28"/>
        <x:v>0</x:v>
      </x:c>
      <x:c r="M148" s="5">
        <x:f t="shared" si="27"/>
        <x:v>0</x:v>
      </x:c>
      <x:c r="N148" s="6"/>
      <x:c r="V148" s="1"/>
    </x:row>
    <x:row r="149" spans="1:22" s="2" customFormat="1" ht="20.100000000000001" customHeight="1">
      <x:c r="A149" s="299"/>
      <x:c r="B149" s="3"/>
      <x:c r="C149" s="3"/>
      <x:c r="D149" s="4"/>
      <x:c r="E149" s="4"/>
      <x:c r="F149" s="5"/>
      <x:c r="G149" s="6"/>
      <x:c r="H149" s="299"/>
      <x:c r="I149" s="3"/>
      <x:c r="J149" s="3"/>
      <x:c r="K149" s="4"/>
      <x:c r="L149" s="4">
        <x:f t="shared" si="28"/>
        <x:v>0</x:v>
      </x:c>
      <x:c r="M149" s="5">
        <x:f t="shared" si="27"/>
        <x:v>0</x:v>
      </x:c>
      <x:c r="N149" s="6"/>
      <x:c r="V149" s="1"/>
    </x:row>
    <x:row r="150" spans="1:22" s="2" customFormat="1" ht="20.100000000000001" customHeight="1">
      <x:c r="A150" s="299"/>
      <x:c r="B150" s="3"/>
      <x:c r="C150" s="3"/>
      <x:c r="D150" s="4"/>
      <x:c r="E150" s="4"/>
      <x:c r="F150" s="5">
        <x:f t="shared" si="25"/>
        <x:v>0</x:v>
      </x:c>
      <x:c r="G150" s="6"/>
      <x:c r="H150" s="299"/>
      <x:c r="I150" s="3"/>
      <x:c r="J150" s="3"/>
      <x:c r="K150" s="4"/>
      <x:c r="L150" s="4">
        <x:f t="shared" si="28"/>
        <x:v>0</x:v>
      </x:c>
      <x:c r="M150" s="5">
        <x:f t="shared" si="27"/>
        <x:v>0</x:v>
      </x:c>
      <x:c r="N150" s="6"/>
      <x:c r="V150" s="1"/>
    </x:row>
    <x:row r="151" spans="1:22" s="2" customFormat="1" ht="20.100000000000001" customHeight="1">
      <x:c r="A151" s="300"/>
      <x:c r="B151" s="3"/>
      <x:c r="C151" s="3"/>
      <x:c r="D151" s="4"/>
      <x:c r="E151" s="4"/>
      <x:c r="F151" s="5"/>
      <x:c r="G151" s="6"/>
      <x:c r="H151" s="300"/>
      <x:c r="I151" s="3"/>
      <x:c r="J151" s="3"/>
      <x:c r="K151" s="4"/>
      <x:c r="L151" s="4">
        <x:f t="shared" si="28"/>
        <x:v>0</x:v>
      </x:c>
      <x:c r="M151" s="5">
        <x:f t="shared" si="27"/>
        <x:v>0</x:v>
      </x:c>
      <x:c r="N151" s="6"/>
      <x:c r="V151" s="1"/>
    </x:row>
    <x:row r="152" spans="1:22" s="2" customFormat="1" ht="20.100000000000001" customHeight="1">
      <x:c r="A152" s="7" t="s">
        <x:v>155</x:v>
      </x:c>
      <x:c r="B152" s="8"/>
      <x:c r="C152" s="8"/>
      <x:c r="D152" s="9">
        <x:f>SUM(D136:D151)</x:f>
        <x:v>7865000</x:v>
      </x:c>
      <x:c r="E152" s="9">
        <x:f>SUM(E136:E151)</x:f>
        <x:v>786500</x:v>
      </x:c>
      <x:c r="F152" s="10">
        <x:f>SUM(F136:F151)</x:f>
        <x:v>8651500</x:v>
      </x:c>
      <x:c r="G152" s="11"/>
      <x:c r="H152" s="7"/>
      <x:c r="I152" s="8"/>
      <x:c r="J152" s="8"/>
      <x:c r="K152" s="9">
        <x:f>SUM(K136:K151)</x:f>
        <x:v>9392150</x:v>
      </x:c>
      <x:c r="L152" s="9">
        <x:f>SUM(L136:L151)</x:f>
        <x:v>939215</x:v>
      </x:c>
      <x:c r="M152" s="10">
        <x:f>SUM(M136:M151)</x:f>
        <x:v>10331365</x:v>
      </x:c>
      <x:c r="N152" s="11"/>
      <x:c r="V152" s="1"/>
    </x:row>
    <x:row r="153" spans="1:22" s="2" customFormat="1" ht="20.100000000000001" customHeight="1">
      <x:c r="A153" s="301" t="s">
        <x:v>153</x:v>
      </x:c>
      <x:c r="B153" s="3" t="s">
        <x:v>1241</x:v>
      </x:c>
      <x:c r="C153" s="3" t="s">
        <x:v>264</x:v>
      </x:c>
      <x:c r="D153" s="44">
        <x:v>14935000</x:v>
      </x:c>
      <x:c r="E153" s="44"/>
      <x:c r="F153" s="45">
        <x:f>+D153+E153</x:f>
        <x:v>14935000</x:v>
      </x:c>
      <x:c r="G153" s="180" t="s">
        <x:v>258</x:v>
      </x:c>
      <x:c r="H153" s="301" t="s">
        <x:v>153</x:v>
      </x:c>
      <x:c r="I153" s="3" t="s">
        <x:v>1677</x:v>
      </x:c>
      <x:c r="J153" s="3" t="s">
        <x:v>1083</x:v>
      </x:c>
      <x:c r="K153" s="4">
        <x:v>15620000</x:v>
      </x:c>
      <x:c r="L153" s="4"/>
      <x:c r="M153" s="5">
        <x:f>+K153+L153</x:f>
        <x:v>15620000</x:v>
      </x:c>
      <x:c r="N153" s="6"/>
      <x:c r="V153" s="1"/>
    </x:row>
    <x:row r="154" spans="1:22" s="2" customFormat="1" ht="20.100000000000001" customHeight="1">
      <x:c r="A154" s="299"/>
      <x:c r="B154" s="3"/>
      <x:c r="C154" s="3"/>
      <x:c r="D154" s="44"/>
      <x:c r="E154" s="44">
        <x:f>+D154*0.1</x:f>
        <x:v>0</x:v>
      </x:c>
      <x:c r="F154" s="45">
        <x:f>+D154+E154</x:f>
        <x:v>0</x:v>
      </x:c>
      <x:c r="G154" s="37"/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  <x:c r="V154" s="1"/>
    </x:row>
    <x:row r="155" spans="1:22" s="2" customFormat="1" ht="20.100000000000001" customHeight="1">
      <x:c r="A155" s="299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  <x:c r="V155" s="1"/>
    </x:row>
    <x:row r="156" spans="1:22" s="2" customFormat="1" ht="20.100000000000001" customHeight="1">
      <x:c r="A156" s="300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300"/>
      <x:c r="I156" s="3"/>
      <x:c r="J156" s="3"/>
      <x:c r="K156" s="4"/>
      <x:c r="L156" s="4">
        <x:f>+K156*0.1</x:f>
        <x:v>0</x:v>
      </x:c>
      <x:c r="M156" s="5">
        <x:f>+K156+L156</x:f>
        <x:v>0</x:v>
      </x:c>
      <x:c r="N156" s="6"/>
      <x:c r="V156" s="1"/>
    </x:row>
    <x:row r="157" spans="1:22" s="2" customFormat="1" ht="20.100000000000001" customHeight="1">
      <x:c r="A157" s="7" t="s">
        <x:v>155</x:v>
      </x:c>
      <x:c r="B157" s="8"/>
      <x:c r="C157" s="8"/>
      <x:c r="D157" s="9">
        <x:f>SUM(D153:D156)</x:f>
        <x:v>14935000</x:v>
      </x:c>
      <x:c r="E157" s="9">
        <x:f>SUM(E153:E156)</x:f>
        <x:v>0</x:v>
      </x:c>
      <x:c r="F157" s="10">
        <x:f>SUM(F153:F156)</x:f>
        <x:v>14935000</x:v>
      </x:c>
      <x:c r="G157" s="11"/>
      <x:c r="H157" s="7"/>
      <x:c r="I157" s="8"/>
      <x:c r="J157" s="8"/>
      <x:c r="K157" s="9">
        <x:f>SUM(K153:K156)</x:f>
        <x:v>15620000</x:v>
      </x:c>
      <x:c r="L157" s="9">
        <x:f>SUM(L153:L156)</x:f>
        <x:v>0</x:v>
      </x:c>
      <x:c r="M157" s="10">
        <x:f>SUM(M153:M156)</x:f>
        <x:v>15620000</x:v>
      </x:c>
      <x:c r="N157" s="11"/>
      <x:c r="V157" s="1"/>
    </x:row>
    <x:row r="158" spans="1:22" s="2" customFormat="1" ht="20.100000000000001" customHeight="1">
      <x:c r="A158" s="301" t="s">
        <x:v>187</x:v>
      </x:c>
      <x:c r="B158" s="3" t="s">
        <x:v>484</x:v>
      </x:c>
      <x:c r="C158" s="3" t="s">
        <x:v>1373</x:v>
      </x:c>
      <x:c r="D158" s="4"/>
      <x:c r="E158" s="4">
        <x:f>+D158*0.1</x:f>
        <x:v>0</x:v>
      </x:c>
      <x:c r="F158" s="5">
        <x:f>+D158+E158</x:f>
        <x:v>0</x:v>
      </x:c>
      <x:c r="G158" s="180" t="s">
        <x:v>258</x:v>
      </x:c>
      <x:c r="H158" s="301" t="s">
        <x:v>187</x:v>
      </x:c>
      <x:c r="I158" s="3"/>
      <x:c r="J158" s="3"/>
      <x:c r="K158" s="4"/>
      <x:c r="L158" s="4">
        <x:f>+K158*0.1</x:f>
        <x:v>0</x:v>
      </x:c>
      <x:c r="M158" s="5">
        <x:f>+K158+L158</x:f>
        <x:v>0</x:v>
      </x:c>
      <x:c r="N158" s="6"/>
      <x:c r="V158" s="1"/>
    </x:row>
    <x:row r="159" spans="1:22" s="2" customFormat="1" ht="20.100000000000001" customHeight="1">
      <x:c r="A159" s="299"/>
      <x:c r="B159" s="3"/>
      <x:c r="C159" s="3"/>
      <x:c r="D159" s="4"/>
      <x:c r="E159" s="4"/>
      <x:c r="F159" s="5">
        <x:f>+D159+E159</x:f>
        <x:v>0</x:v>
      </x:c>
      <x:c r="G159" s="180"/>
      <x:c r="H159" s="299"/>
      <x:c r="I159" s="3"/>
      <x:c r="J159" s="3"/>
      <x:c r="K159" s="4"/>
      <x:c r="L159" s="4">
        <x:f>+K159*0.1</x:f>
        <x:v>0</x:v>
      </x:c>
      <x:c r="M159" s="5">
        <x:f>+K159+L159</x:f>
        <x:v>0</x:v>
      </x:c>
      <x:c r="N159" s="6"/>
      <x:c r="V159" s="1"/>
    </x:row>
    <x:row r="160" spans="1:22" s="2" customFormat="1" ht="20.100000000000001" customHeight="1">
      <x:c r="A160" s="299"/>
      <x:c r="B160" s="3"/>
      <x:c r="C160" s="3"/>
      <x:c r="D160" s="4"/>
      <x:c r="E160" s="4"/>
      <x:c r="F160" s="5">
        <x:f>+D160+E160</x:f>
        <x:v>0</x:v>
      </x:c>
      <x:c r="G160" s="180"/>
      <x:c r="H160" s="299"/>
      <x:c r="I160" s="3"/>
      <x:c r="J160" s="3"/>
      <x:c r="K160" s="4"/>
      <x:c r="L160" s="4">
        <x:f>+K160*0.1</x:f>
        <x:v>0</x:v>
      </x:c>
      <x:c r="M160" s="5">
        <x:f>+K160+L160</x:f>
        <x:v>0</x:v>
      </x:c>
      <x:c r="N160" s="6"/>
      <x:c r="V160" s="1"/>
    </x:row>
    <x:row r="161" spans="1:22" s="2" customFormat="1" ht="20.100000000000001" customHeight="1">
      <x:c r="A161" s="300"/>
      <x:c r="B161" s="3"/>
      <x:c r="C161" s="3"/>
      <x:c r="D161" s="4"/>
      <x:c r="E161" s="4"/>
      <x:c r="F161" s="5">
        <x:f>+D161+E161</x:f>
        <x:v>0</x:v>
      </x:c>
      <x:c r="G161" s="6"/>
      <x:c r="H161" s="300"/>
      <x:c r="I161" s="3"/>
      <x:c r="J161" s="3"/>
      <x:c r="K161" s="4"/>
      <x:c r="L161" s="4">
        <x:f>+K161*0.1</x:f>
        <x:v>0</x:v>
      </x:c>
      <x:c r="M161" s="5">
        <x:f>+K161+L161</x:f>
        <x:v>0</x:v>
      </x:c>
      <x:c r="N161" s="6"/>
      <x:c r="V161" s="1"/>
    </x:row>
    <x:row r="162" spans="1:22" s="2" customFormat="1" ht="20.100000000000001" customHeight="1">
      <x:c r="A162" s="7" t="s">
        <x:v>155</x:v>
      </x:c>
      <x:c r="B162" s="8"/>
      <x:c r="C162" s="8"/>
      <x:c r="D162" s="9">
        <x:f>SUM(D158:D161)</x:f>
        <x:v>0</x:v>
      </x:c>
      <x:c r="E162" s="9">
        <x:f>SUM(E158:E161)</x:f>
        <x:v>0</x:v>
      </x:c>
      <x:c r="F162" s="10">
        <x:f>SUM(F158:F161)</x:f>
        <x:v>0</x:v>
      </x:c>
      <x:c r="G162" s="11"/>
      <x:c r="H162" s="7"/>
      <x:c r="I162" s="8"/>
      <x:c r="J162" s="8"/>
      <x:c r="K162" s="9">
        <x:f>SUM(K158:K161)</x:f>
        <x:v>0</x:v>
      </x:c>
      <x:c r="L162" s="9">
        <x:f>SUM(L158:L161)</x:f>
        <x:v>0</x:v>
      </x:c>
      <x:c r="M162" s="10">
        <x:f>SUM(M158:M161)</x:f>
        <x:v>0</x:v>
      </x:c>
      <x:c r="N162" s="11"/>
      <x:c r="V162" s="1"/>
    </x:row>
    <x:row r="163" spans="1:22" s="2" customFormat="1" ht="20.100000000000001" customHeight="1">
      <x:c r="A163" s="301" t="s">
        <x:v>149</x:v>
      </x:c>
      <x:c r="B163" s="3" t="s">
        <x:v>1404</x:v>
      </x:c>
      <x:c r="C163" s="3" t="s">
        <x:v>887</x:v>
      </x:c>
      <x:c r="D163" s="4">
        <x:v>3740</x:v>
      </x:c>
      <x:c r="E163" s="4"/>
      <x:c r="F163" s="5">
        <x:f>+D163+E163</x:f>
        <x:v>3740</x:v>
      </x:c>
      <x:c r="G163" s="6" t="s">
        <x:v>489</x:v>
      </x:c>
      <x:c r="H163" s="301" t="s">
        <x:v>149</x:v>
      </x:c>
      <x:c r="I163" s="3" t="s">
        <x:v>169</x:v>
      </x:c>
      <x:c r="J163" s="3" t="s">
        <x:v>149</x:v>
      </x:c>
      <x:c r="K163" s="4">
        <x:f>2071932</x:f>
        <x:v>2071932</x:v>
      </x:c>
      <x:c r="L163" s="4">
        <x:f>32728</x:f>
        <x:v>32728</x:v>
      </x:c>
      <x:c r="M163" s="5">
        <x:f t="shared" ref="M163:M170" si="29">+K163+L163</x:f>
        <x:v>2104660</x:v>
      </x:c>
      <x:c r="N163" s="6" t="s">
        <x:v>1505</x:v>
      </x:c>
      <x:c r="V163" s="1"/>
    </x:row>
    <x:row r="164" spans="1:22" s="2" customFormat="1" ht="20.100000000000001" customHeight="1">
      <x:c r="A164" s="299"/>
      <x:c r="B164" s="3"/>
      <x:c r="C164" s="3"/>
      <x:c r="D164" s="4"/>
      <x:c r="E164" s="4"/>
      <x:c r="F164" s="5">
        <x:f>+D164+E164</x:f>
        <x:v>0</x:v>
      </x:c>
      <x:c r="G164" s="6"/>
      <x:c r="H164" s="299"/>
      <x:c r="I164" s="3" t="s">
        <x:v>1481</x:v>
      </x:c>
      <x:c r="J164" s="3" t="s">
        <x:v>1356</x:v>
      </x:c>
      <x:c r="K164" s="4">
        <x:v>378000</x:v>
      </x:c>
      <x:c r="L164" s="4">
        <x:f>+K164*0.1</x:f>
        <x:v>37800</x:v>
      </x:c>
      <x:c r="M164" s="5">
        <x:f t="shared" si="29"/>
        <x:v>415800</x:v>
      </x:c>
      <x:c r="N164" s="6"/>
      <x:c r="V164" s="1"/>
    </x:row>
    <x:row r="165" spans="1:22" s="2" customFormat="1" ht="20.100000000000001" customHeight="1">
      <x:c r="A165" s="299"/>
      <x:c r="B165" s="3"/>
      <x:c r="C165" s="3"/>
      <x:c r="D165" s="4"/>
      <x:c r="E165" s="4"/>
      <x:c r="F165" s="5">
        <x:f>+D165+E165</x:f>
        <x:v>0</x:v>
      </x:c>
      <x:c r="G165" s="6"/>
      <x:c r="H165" s="299"/>
      <x:c r="I165" s="3" t="s">
        <x:v>261</x:v>
      </x:c>
      <x:c r="J165" s="3" t="s">
        <x:v>517</x:v>
      </x:c>
      <x:c r="K165" s="4">
        <x:v>500000</x:v>
      </x:c>
      <x:c r="L165" s="4"/>
      <x:c r="M165" s="5">
        <x:f>+K165+L165</x:f>
        <x:v>500000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 t="shared" ref="F166:F172" si="30">+D166+E166</x:f>
        <x:v>0</x:v>
      </x:c>
      <x:c r="G166" s="6"/>
      <x:c r="H166" s="299"/>
      <x:c r="I166" s="3" t="s">
        <x:v>527</x:v>
      </x:c>
      <x:c r="J166" s="3" t="s">
        <x:v>914</x:v>
      </x:c>
      <x:c r="K166" s="4">
        <x:v>130000</x:v>
      </x:c>
      <x:c r="L166" s="4">
        <x:f>+K166*0.1</x:f>
        <x:v>13000</x:v>
      </x:c>
      <x:c r="M166" s="5">
        <x:f t="shared" si="29"/>
        <x:v>143000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 t="shared" si="30"/>
        <x:v>0</x:v>
      </x:c>
      <x:c r="G167" s="6"/>
      <x:c r="H167" s="299"/>
      <x:c r="I167" s="3" t="s">
        <x:v>247</x:v>
      </x:c>
      <x:c r="J167" s="3" t="s">
        <x:v>231</x:v>
      </x:c>
      <x:c r="K167" s="4">
        <x:v>27033</x:v>
      </x:c>
      <x:c r="L167" s="4">
        <x:f>+K167*0.1</x:f>
        <x:v>2703.3000000000002</x:v>
      </x:c>
      <x:c r="M167" s="5">
        <x:f t="shared" si="29"/>
        <x:v>29736.299999999999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 t="shared" si="30"/>
        <x:v>0</x:v>
      </x:c>
      <x:c r="G168" s="6"/>
      <x:c r="H168" s="299"/>
      <x:c r="I168" s="3" t="s">
        <x:v>1479</x:v>
      </x:c>
      <x:c r="J168" s="3" t="s">
        <x:v>520</x:v>
      </x:c>
      <x:c r="K168" s="4">
        <x:v>5000000</x:v>
      </x:c>
      <x:c r="L168" s="4">
        <x:f>+K168*0.1</x:f>
        <x:v>500000</x:v>
      </x:c>
      <x:c r="M168" s="5">
        <x:f t="shared" si="29"/>
        <x:v>5500000</x:v>
      </x:c>
      <x:c r="N168" s="6"/>
      <x:c r="V168" s="1"/>
    </x:row>
    <x:row r="169" spans="1:22" s="2" customFormat="1" ht="20.100000000000001" customHeight="1">
      <x:c r="A169" s="299"/>
      <x:c r="B169" s="3"/>
      <x:c r="C169" s="3"/>
      <x:c r="D169" s="4"/>
      <x:c r="E169" s="4"/>
      <x:c r="F169" s="5">
        <x:f t="shared" si="30"/>
        <x:v>0</x:v>
      </x:c>
      <x:c r="G169" s="6"/>
      <x:c r="H169" s="299"/>
      <x:c r="I169" s="3"/>
      <x:c r="J169" s="3"/>
      <x:c r="K169" s="4"/>
      <x:c r="L169" s="4">
        <x:f t="shared" ref="L169:L172" si="31">+K169*0.1</x:f>
        <x:v>0</x:v>
      </x:c>
      <x:c r="M169" s="5">
        <x:f t="shared" si="29"/>
        <x:v>0</x:v>
      </x:c>
      <x:c r="N169" s="6"/>
      <x:c r="V169" s="1"/>
    </x:row>
    <x:row r="170" spans="1:22" s="2" customFormat="1" ht="20.100000000000001" customHeight="1">
      <x:c r="A170" s="299"/>
      <x:c r="B170" s="3"/>
      <x:c r="C170" s="3"/>
      <x:c r="D170" s="4"/>
      <x:c r="E170" s="4"/>
      <x:c r="F170" s="5">
        <x:f t="shared" si="30"/>
        <x:v>0</x:v>
      </x:c>
      <x:c r="G170" s="6"/>
      <x:c r="H170" s="299"/>
      <x:c r="I170" s="3"/>
      <x:c r="J170" s="3"/>
      <x:c r="K170" s="4"/>
      <x:c r="L170" s="4">
        <x:f t="shared" si="31"/>
        <x:v>0</x:v>
      </x:c>
      <x:c r="M170" s="5">
        <x:f t="shared" si="29"/>
        <x:v>0</x:v>
      </x:c>
      <x:c r="N170" s="6"/>
      <x:c r="V170" s="1"/>
    </x:row>
    <x:row r="171" spans="1:22" s="2" customFormat="1" ht="20.100000000000001" customHeight="1">
      <x:c r="A171" s="299"/>
      <x:c r="B171" s="3"/>
      <x:c r="C171" s="3"/>
      <x:c r="D171" s="4"/>
      <x:c r="E171" s="4"/>
      <x:c r="F171" s="5">
        <x:f t="shared" si="30"/>
        <x:v>0</x:v>
      </x:c>
      <x:c r="G171" s="6"/>
      <x:c r="H171" s="299"/>
      <x:c r="I171" s="3"/>
      <x:c r="J171" s="3"/>
      <x:c r="K171" s="4"/>
      <x:c r="L171" s="4">
        <x:f t="shared" si="31"/>
        <x:v>0</x:v>
      </x:c>
      <x:c r="M171" s="5"/>
      <x:c r="N171" s="6"/>
      <x:c r="V171" s="1"/>
    </x:row>
    <x:row r="172" spans="1:22" s="2" customFormat="1" ht="20.100000000000001" customHeight="1">
      <x:c r="A172" s="300"/>
      <x:c r="B172" s="3"/>
      <x:c r="C172" s="3"/>
      <x:c r="D172" s="4"/>
      <x:c r="E172" s="4"/>
      <x:c r="F172" s="5">
        <x:f t="shared" si="30"/>
        <x:v>0</x:v>
      </x:c>
      <x:c r="G172" s="6"/>
      <x:c r="H172" s="300"/>
      <x:c r="I172" s="3"/>
      <x:c r="J172" s="3"/>
      <x:c r="K172" s="4"/>
      <x:c r="L172" s="4">
        <x:f t="shared" si="31"/>
        <x:v>0</x:v>
      </x:c>
      <x:c r="M172" s="5">
        <x:f>+K172+L172</x:f>
        <x:v>0</x:v>
      </x:c>
      <x:c r="N172" s="6"/>
      <x:c r="V172" s="1"/>
    </x:row>
    <x:row r="173" spans="1:22" s="2" customFormat="1" ht="20.100000000000001" customHeight="1">
      <x:c r="A173" s="7" t="s">
        <x:v>155</x:v>
      </x:c>
      <x:c r="B173" s="8"/>
      <x:c r="C173" s="8"/>
      <x:c r="D173" s="9">
        <x:f>SUM(D163:D172)</x:f>
        <x:v>3740</x:v>
      </x:c>
      <x:c r="E173" s="9">
        <x:f>SUM(E163:E172)</x:f>
        <x:v>0</x:v>
      </x:c>
      <x:c r="F173" s="10">
        <x:f>SUM(F163:F172)</x:f>
        <x:v>3740</x:v>
      </x:c>
      <x:c r="G173" s="11"/>
      <x:c r="H173" s="7"/>
      <x:c r="I173" s="8"/>
      <x:c r="J173" s="8"/>
      <x:c r="K173" s="9">
        <x:f>SUM(K163:K172)</x:f>
        <x:v>8106965</x:v>
      </x:c>
      <x:c r="L173" s="9">
        <x:f>SUM(L163:L172)</x:f>
        <x:v>586231.30000000005</x:v>
      </x:c>
      <x:c r="M173" s="10">
        <x:f>SUM(M163:M172)</x:f>
        <x:v>8693196.3000000007</x:v>
      </x:c>
      <x:c r="N173" s="11"/>
      <x:c r="V173" s="1"/>
    </x:row>
    <x:row r="174" spans="1:22" s="2" customFormat="1" ht="20.100000000000001" customHeight="1">
      <x:c r="A174" s="12" t="s">
        <x:v>1690</x:v>
      </x:c>
      <x:c r="B174" s="13"/>
      <x:c r="C174" s="13"/>
      <x:c r="D174" s="14">
        <x:f>+D152+D157+D162+D173</x:f>
        <x:v>22803740</x:v>
      </x:c>
      <x:c r="E174" s="14">
        <x:f>+E152+E157+E162+E173</x:f>
        <x:v>786500</x:v>
      </x:c>
      <x:c r="F174" s="15">
        <x:f>+F152+F157+F162+F173</x:f>
        <x:v>23590240</x:v>
      </x:c>
      <x:c r="G174" s="16"/>
      <x:c r="H174" s="12"/>
      <x:c r="I174" s="13"/>
      <x:c r="J174" s="13"/>
      <x:c r="K174" s="14">
        <x:f>+K152+K157+K162+K173</x:f>
        <x:v>33119115</x:v>
      </x:c>
      <x:c r="L174" s="14">
        <x:f>+L152+L157+L162+L173</x:f>
        <x:v>1525446.3</x:v>
      </x:c>
      <x:c r="M174" s="15">
        <x:f>+M152+M157+M162+M173</x:f>
        <x:v>34644561.299999997</x:v>
      </x:c>
      <x:c r="N174" s="16"/>
      <x:c r="V174" s="1"/>
    </x:row>
    <x:row r="175" spans="1:22" s="2" customFormat="1" ht="20.100000000000001" customHeight="1">
      <x:c r="A175" s="23" t="s">
        <x:v>35</x:v>
      </x:c>
      <x:c r="B175" s="24"/>
      <x:c r="C175" s="24"/>
      <x:c r="D175" s="25">
        <x:f>+D135-D174</x:f>
        <x:v>48116260</x:v>
      </x:c>
      <x:c r="E175" s="25">
        <x:f>+E135-E174</x:f>
        <x:v>6305500</x:v>
      </x:c>
      <x:c r="F175" s="26">
        <x:f>+F135-F174</x:f>
        <x:v>54421760</x:v>
      </x:c>
      <x:c r="G175" s="27"/>
      <x:c r="H175" s="23"/>
      <x:c r="I175" s="24"/>
      <x:c r="J175" s="24"/>
      <x:c r="K175" s="25">
        <x:f>+K135-K174</x:f>
        <x:v>-33119115</x:v>
      </x:c>
      <x:c r="L175" s="25">
        <x:f>+L135-L174</x:f>
        <x:v>-1525446.3</x:v>
      </x:c>
      <x:c r="M175" s="26">
        <x:f>+M135-M174</x:f>
        <x:v>-34644561.299999997</x:v>
      </x:c>
      <x:c r="N175" s="27"/>
      <x:c r="V175" s="1"/>
    </x:row>
    <x:row r="178" spans="1:22" s="2" customFormat="1">
      <x:c r="A178" s="1" t="s">
        <x:v>148</x:v>
      </x:c>
      <x:c r="B178" s="1"/>
      <x:c r="C178" s="1"/>
      <x:c r="D178" s="2">
        <x:f>+D18+D63+D109+D152</x:f>
        <x:v>207544518</x:v>
      </x:c>
      <x:c r="E178" s="2">
        <x:f>+E18+E63+E109+E152</x:f>
        <x:v>20754451</x:v>
      </x:c>
      <x:c r="F178" s="2">
        <x:f>+F18+F63+F109+F152</x:f>
        <x:v>228298969</x:v>
      </x:c>
      <x:c r="H178" s="1"/>
      <x:c r="I178" s="1"/>
      <x:c r="J178" s="1"/>
      <x:c r="K178" s="2">
        <x:f>+K18+K63+K109+K152</x:f>
        <x:v>43165839</x:v>
      </x:c>
      <x:c r="L178" s="2">
        <x:f>+L18+L63+L109+L152</x:f>
        <x:v>4316581</x:v>
      </x:c>
      <x:c r="M178" s="2">
        <x:f>+M18+M63+M109+M152</x:f>
        <x:v>47482420</x:v>
      </x:c>
      <x:c r="V178" s="1"/>
    </x:row>
    <x:row r="179" spans="1:22" s="2" customFormat="1">
      <x:c r="A179" s="1" t="s">
        <x:v>153</x:v>
      </x:c>
      <x:c r="B179" s="1"/>
      <x:c r="C179" s="1"/>
      <x:c r="D179" s="2">
        <x:f>+D24+D68+D114+D157</x:f>
        <x:v>235730500</x:v>
      </x:c>
      <x:c r="E179" s="2">
        <x:f>+E24+E68+E114+E157</x:f>
        <x:v>3708450</x:v>
      </x:c>
      <x:c r="F179" s="2">
        <x:f>+F24+F68+F114+F157</x:f>
        <x:v>239438950</x:v>
      </x:c>
      <x:c r="H179" s="1"/>
      <x:c r="I179" s="1"/>
      <x:c r="J179" s="1"/>
      <x:c r="K179" s="2">
        <x:f>+K24+K68+K114+K157</x:f>
        <x:v>92129810</x:v>
      </x:c>
      <x:c r="L179" s="2">
        <x:f>+L24+L68+L114+L157</x:f>
        <x:v>0</x:v>
      </x:c>
      <x:c r="M179" s="2">
        <x:f>+M24+M68+M114+M157</x:f>
        <x:v>92129810</x:v>
      </x:c>
      <x:c r="V179" s="1"/>
    </x:row>
    <x:row r="180" spans="1:13" s="2" customFormat="1">
      <x:c r="A180" s="1" t="s">
        <x:v>187</x:v>
      </x:c>
      <x:c r="B180" s="1"/>
      <x:c r="C180" s="1"/>
      <x:c r="D180" s="2">
        <x:f>+D29+D73+D119+D162</x:f>
        <x:v>6980000</x:v>
      </x:c>
      <x:c r="E180" s="2">
        <x:f>+E29+E73+E119+E162</x:f>
        <x:v>698000</x:v>
      </x:c>
      <x:c r="F180" s="2">
        <x:f>+F29+F73+F119+F162</x:f>
        <x:v>7678000</x:v>
      </x:c>
      <x:c r="H180" s="1"/>
      <x:c r="I180" s="1"/>
      <x:c r="J180" s="1"/>
      <x:c r="K180" s="2">
        <x:f>+K29+K73+K119+K162</x:f>
        <x:v>1140000</x:v>
      </x:c>
      <x:c r="L180" s="2">
        <x:f>+L29+L73+L119+L162</x:f>
        <x:v>114000</x:v>
      </x:c>
      <x:c r="M180" s="2">
        <x:f>+M29+M73+M119+M162</x:f>
        <x:v>1254000</x:v>
      </x:c>
    </x:row>
    <x:row r="181" spans="1:13" s="2" customFormat="1">
      <x:c r="A181" s="1" t="s">
        <x:v>149</x:v>
      </x:c>
      <x:c r="B181" s="1"/>
      <x:c r="C181" s="1"/>
      <x:c r="D181" s="2">
        <x:f>+D41+D87+D130+D173</x:f>
        <x:v>6610490</x:v>
      </x:c>
      <x:c r="E181" s="2">
        <x:f>+E41+E87+E130+E173</x:f>
        <x:v>332489.90000000002</x:v>
      </x:c>
      <x:c r="F181" s="2">
        <x:f>+F41+F87+F130+F173</x:f>
        <x:v>6942979.9000000004</x:v>
      </x:c>
      <x:c r="H181" s="1"/>
      <x:c r="I181" s="1"/>
      <x:c r="J181" s="1"/>
      <x:c r="K181" s="2">
        <x:f>+K41+K87+K130+K173</x:f>
        <x:v>24416787</x:v>
      </x:c>
      <x:c r="L181" s="2">
        <x:f>+L41+L87+L130+L173</x:f>
        <x:v>1343484.1000000001</x:v>
      </x:c>
      <x:c r="M181" s="2">
        <x:f>+M41+M87+M130+M173</x:f>
        <x:v>25760271.100000001</x:v>
      </x:c>
    </x:row>
    <x:row r="182" spans="1:13" s="2" customFormat="1">
      <x:c r="A182" s="1" t="s">
        <x:v>202</x:v>
      </x:c>
      <x:c r="B182" s="1"/>
      <x:c r="C182" s="1"/>
      <x:c r="D182" s="2">
        <x:f>SUM(D178:D181)</x:f>
        <x:v>456865508</x:v>
      </x:c>
      <x:c r="E182" s="2">
        <x:f>SUM(E178:E181)</x:f>
        <x:v>25493390.899999999</x:v>
      </x:c>
      <x:c r="F182" s="2">
        <x:f>SUM(F178:F181)</x:f>
        <x:v>482358898.89999998</x:v>
      </x:c>
      <x:c r="H182" s="1"/>
      <x:c r="I182" s="1"/>
      <x:c r="J182" s="1"/>
      <x:c r="K182" s="2">
        <x:f>SUM(K178:K181)</x:f>
        <x:v>160852436</x:v>
      </x:c>
      <x:c r="L182" s="2">
        <x:f>SUM(L178:L181)</x:f>
        <x:v>5774065.0999999996</x:v>
      </x:c>
      <x:c r="M182" s="2">
        <x:f>SUM(M178:M181)</x:f>
        <x:v>166626501.09999999</x:v>
      </x:c>
    </x:row>
    <x:row r="185" spans="1:10" s="2" customFormat="1">
      <x:c r="A185" s="1" t="s">
        <x:v>148</x:v>
      </x:c>
      <x:c r="B185" s="1"/>
      <x:c r="C185" s="1"/>
      <x:c r="D185" s="2">
        <x:f>+D178+K178</x:f>
        <x:v>250710357</x:v>
      </x:c>
      <x:c r="E185" s="2">
        <x:f>+E178+L178</x:f>
        <x:v>25071032</x:v>
      </x:c>
      <x:c r="F185" s="2">
        <x:f>+F178+M178</x:f>
        <x:v>275781389</x:v>
      </x:c>
      <x:c r="H185" s="1"/>
      <x:c r="I185" s="1"/>
      <x:c r="J185" s="1"/>
    </x:row>
    <x:row r="186" spans="1:10" s="2" customFormat="1">
      <x:c r="A186" s="1" t="s">
        <x:v>153</x:v>
      </x:c>
      <x:c r="B186" s="1"/>
      <x:c r="C186" s="1"/>
      <x:c r="D186" s="2">
        <x:f t="shared" ref="D186:F188" si="32">+D179+K179</x:f>
        <x:v>327860310</x:v>
      </x:c>
      <x:c r="E186" s="2">
        <x:f t="shared" si="32"/>
        <x:v>3708450</x:v>
      </x:c>
      <x:c r="F186" s="2">
        <x:f t="shared" si="32"/>
        <x:v>331568760</x:v>
      </x:c>
      <x:c r="H186" s="1"/>
      <x:c r="I186" s="1"/>
      <x:c r="J186" s="1"/>
    </x:row>
    <x:row r="187" spans="1:10" s="2" customFormat="1">
      <x:c r="A187" s="1" t="s">
        <x:v>187</x:v>
      </x:c>
      <x:c r="B187" s="1"/>
      <x:c r="C187" s="1"/>
      <x:c r="D187" s="2">
        <x:f t="shared" si="32"/>
        <x:v>8120000</x:v>
      </x:c>
      <x:c r="E187" s="2">
        <x:f t="shared" si="32"/>
        <x:v>812000</x:v>
      </x:c>
      <x:c r="F187" s="2">
        <x:f t="shared" si="32"/>
        <x:v>8932000</x:v>
      </x:c>
      <x:c r="H187" s="1"/>
      <x:c r="I187" s="1"/>
      <x:c r="J187" s="1"/>
    </x:row>
    <x:row r="188" spans="1:10" s="2" customFormat="1">
      <x:c r="A188" s="1" t="s">
        <x:v>149</x:v>
      </x:c>
      <x:c r="B188" s="1"/>
      <x:c r="C188" s="1"/>
      <x:c r="D188" s="2">
        <x:f t="shared" si="32"/>
        <x:v>31027277</x:v>
      </x:c>
      <x:c r="E188" s="2">
        <x:f t="shared" si="32"/>
        <x:v>1675974</x:v>
      </x:c>
      <x:c r="F188" s="2">
        <x:f t="shared" si="32"/>
        <x:v>32703251</x:v>
      </x:c>
      <x:c r="H188" s="1"/>
      <x:c r="I188" s="1"/>
      <x:c r="J188" s="1"/>
    </x:row>
    <x:row r="189" spans="1:10" s="2" customFormat="1">
      <x:c r="A189" s="1" t="s">
        <x:v>1019</x:v>
      </x:c>
      <x:c r="B189" s="1"/>
      <x:c r="C189" s="1"/>
      <x:c r="D189" s="2">
        <x:f>SUM(D185:D188)</x:f>
        <x:v>617717944</x:v>
      </x:c>
      <x:c r="E189" s="2">
        <x:f>SUM(E185:E188)</x:f>
        <x:v>31267456</x:v>
      </x:c>
      <x:c r="F189" s="2">
        <x:f>SUM(F185:F188)</x:f>
        <x:v>648985400</x:v>
      </x:c>
      <x:c r="H189" s="1"/>
      <x:c r="I189" s="1"/>
      <x:c r="J189" s="1"/>
    </x:row>
    <x:row r="190" spans="1:10" s="2" customFormat="1">
      <x:c r="A190" s="1" t="s">
        <x:v>151</x:v>
      </x:c>
      <x:c r="B190" s="1"/>
      <x:c r="C190" s="1"/>
      <x:c r="D190" s="2">
        <x:f>D4+D46+D92+K4+K46+K92+D135+K135</x:f>
        <x:v>877568868</x:v>
      </x:c>
      <x:c r="E190" s="2">
        <x:f>E4+E46+E92+L4+L46+L92</x:f>
        <x:v>49561386.799999997</x:v>
      </x:c>
      <x:c r="F190" s="2">
        <x:f>F4+F46+F92+M4+M46+M92</x:f>
        <x:v>856210254.79999995</x:v>
      </x:c>
      <x:c r="H190" s="1"/>
      <x:c r="I190" s="1"/>
      <x:c r="J190" s="1"/>
    </x:row>
    <x:row r="191" spans="1:10" s="2" customFormat="1">
      <x:c r="A191" s="1" t="s">
        <x:v>632</x:v>
      </x:c>
      <x:c r="B191" s="1"/>
      <x:c r="C191" s="1"/>
      <x:c r="D191" s="2">
        <x:f>+D190-D189</x:f>
        <x:v>259850924</x:v>
      </x:c>
      <x:c r="E191" s="2">
        <x:f>+E190-E189</x:f>
        <x:v>18293930.799999997</x:v>
      </x:c>
      <x:c r="F191" s="2">
        <x:f>+F190-F189</x:f>
        <x:v>207224854.79999995</x:v>
      </x:c>
      <x:c r="H191" s="1"/>
      <x:c r="I191" s="1"/>
      <x:c r="J191" s="1"/>
    </x:row>
  </x:sheetData>
  <x:mergeCells count="42">
    <x:mergeCell ref="A1:N1"/>
    <x:mergeCell ref="O1:S1"/>
    <x:mergeCell ref="A2:G2"/>
    <x:mergeCell ref="H2:N2"/>
    <x:mergeCell ref="A5:A17"/>
    <x:mergeCell ref="H5:H17"/>
    <x:mergeCell ref="A19:A23"/>
    <x:mergeCell ref="H19:H23"/>
    <x:mergeCell ref="A25:A28"/>
    <x:mergeCell ref="H25:H28"/>
    <x:mergeCell ref="A30:A40"/>
    <x:mergeCell ref="H30:H40"/>
    <x:mergeCell ref="A44:G44"/>
    <x:mergeCell ref="H44:N44"/>
    <x:mergeCell ref="A47:A62"/>
    <x:mergeCell ref="H47:H62"/>
    <x:mergeCell ref="A64:A67"/>
    <x:mergeCell ref="H64:H67"/>
    <x:mergeCell ref="A69:A72"/>
    <x:mergeCell ref="H69:H72"/>
    <x:mergeCell ref="A74:A86"/>
    <x:mergeCell ref="H74:H86"/>
    <x:mergeCell ref="A90:G90"/>
    <x:mergeCell ref="H90:N90"/>
    <x:mergeCell ref="A93:A108"/>
    <x:mergeCell ref="H93:H108"/>
    <x:mergeCell ref="A110:A113"/>
    <x:mergeCell ref="H110:H113"/>
    <x:mergeCell ref="A115:A118"/>
    <x:mergeCell ref="H115:H118"/>
    <x:mergeCell ref="A120:A129"/>
    <x:mergeCell ref="H120:H129"/>
    <x:mergeCell ref="A133:G133"/>
    <x:mergeCell ref="H133:N133"/>
    <x:mergeCell ref="A136:A151"/>
    <x:mergeCell ref="H136:H151"/>
    <x:mergeCell ref="A153:A156"/>
    <x:mergeCell ref="H153:H156"/>
    <x:mergeCell ref="A158:A161"/>
    <x:mergeCell ref="H158:H161"/>
    <x:mergeCell ref="A163:A172"/>
    <x:mergeCell ref="H163:H172"/>
  </x:mergeCells>
  <x:pageMargins left="0.7086111307144165" right="0.7086111307144165" top="0.39361110329627991" bottom="0.39361110329627991" header="0.31486111879348755" footer="0.31486111879348755"/>
  <x:pageSetup paperSize="9" scale="55" firstPageNumber="1" fitToWidth="1" fitToHeight="1" orientation="landscape" usePrinterDefaults="1" blackAndWhite="0" draft="0" useFirstPageNumber="0" horizontalDpi="600" verticalDpi="600" copies="1"/>
  <x:rowBreaks count="3" manualBreakCount="3">
    <x:brk id="43" min="0" max="1048575" man="1" pt="0"/>
    <x:brk id="89" min="0" max="1048575" man="1" pt="0"/>
    <x:brk id="132" min="0" max="1048575" man="1" pt="0"/>
  </x:rowBreaks>
</x:worksheet>
</file>

<file path=xl/worksheets/sheet6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3"/>
  <x:dimension ref="A1:S117"/>
  <x:sheetViews>
    <x:sheetView view="pageBreakPreview" topLeftCell="A1" zoomScaleNormal="100" zoomScaleSheetLayoutView="100" workbookViewId="0">
      <x:selection activeCell="E10" activeCellId="0" sqref="E10:E10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1806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18"/>
      <x:c r="C2" s="218"/>
      <x:c r="D2" s="218"/>
      <x:c r="E2" s="218"/>
      <x:c r="F2" s="218"/>
      <x:c r="G2" s="218"/>
      <x:c r="H2" s="218"/>
      <x:c r="I2" s="218"/>
      <x:c r="J2" s="218"/>
      <x:c r="K2" s="218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20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'21년09월(세부내역)'!D4</x:f>
        <x:v>222940000</x:v>
      </x:c>
      <x:c r="F5" s="67">
        <x:f>'21년09월(세부내역)'!D18</x:f>
        <x:v>98575290</x:v>
      </x:c>
      <x:c r="G5" s="67">
        <x:f>'21년09월(세부내역)'!D24</x:f>
        <x:v>121735500</x:v>
      </x:c>
      <x:c r="H5" s="67">
        <x:f>'21년09월(세부내역)'!D29</x:f>
        <x:v>1020000</x:v>
      </x:c>
      <x:c r="I5" s="67">
        <x:f>'21년09월(세부내역)'!D41</x:f>
        <x:v>5132444</x:v>
      </x:c>
      <x:c r="J5" s="75">
        <x:f t="shared" ref="J5:J12" si="0">+SUM(F5:I5)</x:f>
        <x:v>226463234</x:v>
      </x:c>
      <x:c r="K5" s="141">
        <x:f t="shared" ref="K5:K12" si="1">E5-J5</x:f>
        <x:v>-3523234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140</x:v>
      </x:c>
      <x:c r="E6" s="74">
        <x:f>'21년09월(세부내역)'!K4</x:f>
        <x:v>0</x:v>
      </x:c>
      <x:c r="F6" s="59">
        <x:f>+'21년09월(세부내역)'!K18</x:f>
        <x:v>0</x:v>
      </x:c>
      <x:c r="G6" s="59">
        <x:f>'21년09월(세부내역)'!K24</x:f>
        <x:v>1800000</x:v>
      </x:c>
      <x:c r="H6" s="59">
        <x:f>'21년09월(세부내역)'!K29</x:f>
        <x:v>0</x:v>
      </x:c>
      <x:c r="I6" s="59">
        <x:f>'21년09월(세부내역)'!K41</x:f>
        <x:v>65454</x:v>
      </x:c>
      <x:c r="J6" s="75">
        <x:f t="shared" si="0"/>
        <x:v>1865454</x:v>
      </x:c>
      <x:c r="K6" s="140">
        <x:f t="shared" si="1"/>
        <x:v>-1865454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'21년09월(세부내역)'!K46</x:f>
        <x:v>85700000</x:v>
      </x:c>
      <x:c r="F7" s="59">
        <x:f>'21년09월(세부내역)'!K63</x:f>
        <x:v>59528770</x:v>
      </x:c>
      <x:c r="G7" s="59">
        <x:f>'21년09월(세부내역)'!K68</x:f>
        <x:v>55500000</x:v>
      </x:c>
      <x:c r="H7" s="59">
        <x:f>'21년09월(세부내역)'!K73</x:f>
        <x:v>1464000</x:v>
      </x:c>
      <x:c r="I7" s="59">
        <x:f>'21년09월(세부내역)'!K87</x:f>
        <x:v>8554711</x:v>
      </x:c>
      <x:c r="J7" s="75">
        <x:f t="shared" si="0"/>
        <x:v>125047481</x:v>
      </x:c>
      <x:c r="K7" s="141">
        <x:f t="shared" si="1"/>
        <x:v>-39347481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135</x:v>
      </x:c>
      <x:c r="E8" s="74">
        <x:f>'21년09월(세부내역)'!D92</x:f>
        <x:v>122000000</x:v>
      </x:c>
      <x:c r="F8" s="59">
        <x:f>'21년09월(세부내역)'!D109</x:f>
        <x:v>127737516</x:v>
      </x:c>
      <x:c r="G8" s="59">
        <x:f>'21년09월(세부내역)'!D114</x:f>
        <x:v>32295000</x:v>
      </x:c>
      <x:c r="H8" s="59">
        <x:f>'21년09월(세부내역)'!D119</x:f>
        <x:v>3540000</x:v>
      </x:c>
      <x:c r="I8" s="59">
        <x:f>'21년09월(세부내역)'!D130</x:f>
        <x:v>3550970</x:v>
      </x:c>
      <x:c r="J8" s="75">
        <x:f t="shared" si="0"/>
        <x:v>167123486</x:v>
      </x:c>
      <x:c r="K8" s="141">
        <x:f t="shared" si="1"/>
        <x:v>-45123486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'21년09월(세부내역)'!K92</x:f>
        <x:v>101127200</x:v>
      </x:c>
      <x:c r="F9" s="59">
        <x:f>'21년09월(세부내역)'!K109</x:f>
        <x:v>60976600</x:v>
      </x:c>
      <x:c r="G9" s="59">
        <x:f>'21년09월(세부내역)'!K114</x:f>
        <x:v>14460000</x:v>
      </x:c>
      <x:c r="H9" s="59">
        <x:f>'21년09월(세부내역)'!K119</x:f>
        <x:v>0</x:v>
      </x:c>
      <x:c r="I9" s="59">
        <x:f>'21년09월(세부내역)'!K130</x:f>
        <x:v>4875430</x:v>
      </x:c>
      <x:c r="J9" s="75">
        <x:f t="shared" si="0"/>
        <x:v>80312030</x:v>
      </x:c>
      <x:c r="K9" s="141">
        <x:f t="shared" si="1"/>
        <x:v>20815170</x:v>
      </x:c>
      <x:c r="L9" s="204" t="s">
        <x:v>531</x:v>
      </x:c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'21년09월(세부내역)'!D135</x:f>
        <x:v>0</x:v>
      </x:c>
      <x:c r="F10" s="59">
        <x:f>'21년09월(세부내역)'!D152</x:f>
        <x:v>0</x:v>
      </x:c>
      <x:c r="G10" s="59">
        <x:f>'21년09월(세부내역)'!D157</x:f>
        <x:v>0</x:v>
      </x:c>
      <x:c r="H10" s="59">
        <x:f>'21년09월(세부내역)'!D162</x:f>
        <x:v>0</x:v>
      </x:c>
      <x:c r="I10" s="59">
        <x:f>'21년09월(세부내역)'!D173</x:f>
        <x:v>4460</x:v>
      </x:c>
      <x:c r="J10" s="75">
        <x:f t="shared" si="0"/>
        <x:v>4460</x:v>
      </x:c>
      <x:c r="K10" s="141">
        <x:f t="shared" si="1"/>
        <x:v>-4460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'21년09월(세부내역)'!D46</x:f>
        <x:v>80000000</x:v>
      </x:c>
      <x:c r="F11" s="59">
        <x:f>+'21년09월(세부내역)'!D63</x:f>
        <x:v>40425484</x:v>
      </x:c>
      <x:c r="G11" s="59">
        <x:f>'21년09월(세부내역)'!D68</x:f>
        <x:v>57750000</x:v>
      </x:c>
      <x:c r="H11" s="59">
        <x:f>'21년09월(세부내역)'!D73</x:f>
        <x:v>3780000</x:v>
      </x:c>
      <x:c r="I11" s="59">
        <x:f>'21년09월(세부내역)'!D87</x:f>
        <x:v>1396210</x:v>
      </x:c>
      <x:c r="J11" s="75">
        <x:f t="shared" si="0"/>
        <x:v>103351694</x:v>
      </x:c>
      <x:c r="K11" s="141">
        <x:f>E11-J11</x:f>
        <x:v>-23351694</x:v>
      </x:c>
      <x:c r="L11" s="205"/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'21년09월(세부내역)'!K135</x:f>
        <x:v>0</x:v>
      </x:c>
      <x:c r="F12" s="59">
        <x:f>'21년09월(세부내역)'!K152</x:f>
        <x:v>12015016</x:v>
      </x:c>
      <x:c r="G12" s="59">
        <x:f>+'21년09월(세부내역)'!K157</x:f>
        <x:v>16370000</x:v>
      </x:c>
      <x:c r="H12" s="59">
        <x:f>+'21년09월(세부내역)'!K162</x:f>
        <x:v>0</x:v>
      </x:c>
      <x:c r="I12" s="59">
        <x:f>+'21년09월(세부내역)'!K173</x:f>
        <x:v>7713780</x:v>
      </x:c>
      <x:c r="J12" s="75">
        <x:f t="shared" si="0"/>
        <x:v>36098796</x:v>
      </x:c>
      <x:c r="K12" s="141">
        <x:f t="shared" si="1"/>
        <x:v>-36098796</x:v>
      </x:c>
      <x:c r="L12" s="204"/>
    </x:row>
    <x:row r="13" spans="1:12" ht="30" customHeight="1">
      <x:c r="A13" s="63">
        <x:v>9</x:v>
      </x:c>
      <x:c r="B13" s="63" t="s">
        <x:v>431</x:v>
      </x:c>
      <x:c r="C13" s="63" t="s">
        <x:v>156</x:v>
      </x:c>
      <x:c r="D13" s="115" t="s">
        <x:v>537</x:v>
      </x:c>
      <x:c r="E13" s="74">
        <x:f>'21년09월(세부내역)'!D178</x:f>
        <x:v>14600000</x:v>
      </x:c>
      <x:c r="F13" s="59">
        <x:f>'21년09월(세부내역)'!D195</x:f>
        <x:v>918000</x:v>
      </x:c>
      <x:c r="G13" s="59">
        <x:f>'21년09월(세부내역)'!D200</x:f>
        <x:v>8370000</x:v>
      </x:c>
      <x:c r="H13" s="59">
        <x:f>'21년09월(세부내역)'!D205</x:f>
        <x:v>0</x:v>
      </x:c>
      <x:c r="I13" s="59">
        <x:f>'21년09월(세부내역)'!D216</x:f>
        <x:v>872806</x:v>
      </x:c>
      <x:c r="J13" s="75">
        <x:f>+SUM(F13:I13)</x:f>
        <x:v>10160806</x:v>
      </x:c>
      <x:c r="K13" s="141">
        <x:f>E13-J13</x:f>
        <x:v>4439194</x:v>
      </x:c>
      <x:c r="L13" s="204"/>
    </x:row>
    <x:row r="14" spans="1:12" ht="30" customHeight="1">
      <x:c r="A14" s="63">
        <x:v>10</x:v>
      </x:c>
      <x:c r="B14" s="63" t="s">
        <x:v>438</x:v>
      </x:c>
      <x:c r="C14" s="63" t="s">
        <x:v>1065</x:v>
      </x:c>
      <x:c r="D14" s="115" t="s">
        <x:v>536</x:v>
      </x:c>
      <x:c r="E14" s="74">
        <x:f>'21년09월(세부내역)'!K178</x:f>
        <x:v>0</x:v>
      </x:c>
      <x:c r="F14" s="59">
        <x:f>'21년09월(세부내역)'!K195</x:f>
        <x:v>5316650</x:v>
      </x:c>
      <x:c r="G14" s="59">
        <x:f>'21년09월(세부내역)'!K200</x:f>
        <x:v>840000</x:v>
      </x:c>
      <x:c r="H14" s="59">
        <x:f>'21년09월(세부내역)'!K205</x:f>
        <x:v>0</x:v>
      </x:c>
      <x:c r="I14" s="59">
        <x:f>'21년09월(세부내역)'!K216</x:f>
        <x:v>27700</x:v>
      </x:c>
      <x:c r="J14" s="75">
        <x:f>+SUM(F14:I14)</x:f>
        <x:v>6184350</x:v>
      </x:c>
      <x:c r="K14" s="141">
        <x:f>E14-J14</x:f>
        <x:v>-6184350</x:v>
      </x:c>
      <x:c r="L14" s="204"/>
    </x:row>
    <x:row r="15" spans="1:12" ht="30" customHeight="1">
      <x:c r="A15" s="64"/>
      <x:c r="B15" s="64" t="s">
        <x:v>1690</x:v>
      </x:c>
      <x:c r="C15" s="64"/>
      <x:c r="D15" s="64"/>
      <x:c r="E15" s="68">
        <x:f>SUM(E5:E14)</x:f>
        <x:v>626367200</x:v>
      </x:c>
      <x:c r="F15" s="66">
        <x:f t="shared" ref="F15:K15" si="2">SUM(F5:F14)</x:f>
        <x:v>405493326</x:v>
      </x:c>
      <x:c r="G15" s="66">
        <x:f t="shared" si="2"/>
        <x:v>309120500</x:v>
      </x:c>
      <x:c r="H15" s="66">
        <x:f t="shared" si="2"/>
        <x:v>9804000</x:v>
      </x:c>
      <x:c r="I15" s="66">
        <x:f t="shared" si="2"/>
        <x:v>32193965</x:v>
      </x:c>
      <x:c r="J15" s="69">
        <x:f t="shared" si="2"/>
        <x:v>756611791</x:v>
      </x:c>
      <x:c r="K15" s="142">
        <x:f t="shared" si="2"/>
        <x:v>-130244591</x:v>
      </x:c>
      <x:c r="L15" s="66"/>
    </x:row>
    <x:row r="27" spans="1:19" s="2" customFormat="1">
      <x:c r="A27" s="1"/>
      <x:c r="B27" s="1"/>
      <x:c r="C27" s="1"/>
      <x:c r="D27" s="1"/>
      <x:c r="E27" s="1"/>
      <x:c r="J27" s="1"/>
      <x:c r="K27" s="1"/>
      <x:c r="M27" s="1"/>
      <x:c r="N27" s="1"/>
      <x:c r="O27" s="1"/>
      <x:c r="P27" s="1"/>
      <x:c r="Q27" s="1"/>
      <x:c r="R27" s="1"/>
      <x:c r="S27" s="1"/>
    </x:row>
    <x:row r="117" spans="4:4">
      <x:c r="D117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6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4"/>
  <x:dimension ref="A1:V218"/>
  <x:sheetViews>
    <x:sheetView view="pageBreakPreview" topLeftCell="A109" zoomScaleNormal="100" zoomScaleSheetLayoutView="100" workbookViewId="0">
      <x:selection activeCell="B138" activeCellId="0" sqref="B138:B138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1784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20" t="s">
        <x:v>144</x:v>
      </x:c>
      <x:c r="C3" s="220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20" t="s">
        <x:v>144</x:v>
      </x:c>
      <x:c r="J3" s="220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222940000</x:v>
      </x:c>
      <x:c r="E4" s="39">
        <x:v>7060000</x:v>
      </x:c>
      <x:c r="F4" s="40">
        <x:f>+D4+E4</x:f>
        <x:v>230000000</x:v>
      </x:c>
      <x:c r="G4" s="42"/>
      <x:c r="H4" s="219" t="s">
        <x:v>151</x:v>
      </x:c>
      <x:c r="I4" s="38" t="s">
        <x:v>1679</x:v>
      </x:c>
      <x:c r="J4" s="38" t="s">
        <x:v>1030</x:v>
      </x:c>
      <x:c r="K4" s="39"/>
      <x:c r="L4" s="39"/>
      <x:c r="M4" s="40">
        <x:f>+K4+L4</x:f>
        <x:v>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374</x:v>
      </x:c>
      <x:c r="D5" s="212">
        <x:v>46149000</x:v>
      </x:c>
      <x:c r="E5" s="212">
        <x:f t="shared" ref="E5:E14" si="0">+D5*0.1</x:f>
        <x:v>4614900</x:v>
      </x:c>
      <x:c r="F5" s="213">
        <x:f>+D5+E5</x:f>
        <x:v>50763900</x:v>
      </x:c>
      <x:c r="G5" s="169"/>
      <x:c r="H5" s="298" t="s">
        <x:v>148</x:v>
      </x:c>
      <x:c r="I5" s="19" t="s">
        <x:v>838</x:v>
      </x:c>
      <x:c r="J5" s="19"/>
      <x:c r="K5" s="20"/>
      <x:c r="L5" s="20">
        <x:f t="shared" ref="L5:L12" si="1">+INT(K5*0.1)</x:f>
        <x:v>0</x:v>
      </x:c>
      <x:c r="M5" s="21">
        <x:f t="shared" ref="M5:M23" si="2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1507</x:v>
      </x:c>
      <x:c r="D6" s="163">
        <x:v>17782130</x:v>
      </x:c>
      <x:c r="E6" s="44">
        <x:f t="shared" si="0"/>
        <x:v>1778213</x:v>
      </x:c>
      <x:c r="F6" s="164">
        <x:f>+D6+E6</x:f>
        <x:v>19560343</x:v>
      </x:c>
      <x:c r="G6" s="203"/>
      <x:c r="H6" s="299"/>
      <x:c r="I6" s="3" t="s">
        <x:v>867</x:v>
      </x:c>
      <x:c r="J6" s="3"/>
      <x:c r="K6" s="4"/>
      <x:c r="L6" s="4">
        <x:f t="shared" si="1"/>
        <x:v>0</x:v>
      </x:c>
      <x:c r="M6" s="5">
        <x:f t="shared" si="2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342</x:v>
      </x:c>
      <x:c r="D7" s="4">
        <x:v>216000</x:v>
      </x:c>
      <x:c r="E7" s="4">
        <x:f t="shared" si="0"/>
        <x:v>21600</x:v>
      </x:c>
      <x:c r="F7" s="5">
        <x:f>+D7+E7</x:f>
        <x:v>237600</x:v>
      </x:c>
      <x:c r="G7" s="180"/>
      <x:c r="H7" s="299"/>
      <x:c r="I7" s="3" t="s">
        <x:v>854</x:v>
      </x:c>
      <x:c r="J7" s="3"/>
      <x:c r="K7" s="4"/>
      <x:c r="L7" s="4">
        <x:f t="shared" si="1"/>
        <x:v>0</x:v>
      </x:c>
      <x:c r="M7" s="5">
        <x:f t="shared" si="2"/>
        <x:v>0</x:v>
      </x:c>
      <x:c r="N7" s="6"/>
    </x:row>
    <x:row r="8" spans="1:14" ht="20.100000000000001" customHeight="1">
      <x:c r="A8" s="299"/>
      <x:c r="B8" s="3" t="s">
        <x:v>907</x:v>
      </x:c>
      <x:c r="C8" s="162" t="s">
        <x:v>1491</x:v>
      </x:c>
      <x:c r="D8" s="163">
        <x:v>1750000</x:v>
      </x:c>
      <x:c r="E8" s="4">
        <x:f t="shared" si="0"/>
        <x:v>175000</x:v>
      </x:c>
      <x:c r="F8" s="45">
        <x:f t="shared" ref="F8:F15" si="3">+D8+E8</x:f>
        <x:v>1925000</x:v>
      </x:c>
      <x:c r="G8" s="179"/>
      <x:c r="H8" s="299"/>
      <x:c r="I8" s="3" t="s">
        <x:v>1348</x:v>
      </x:c>
      <x:c r="J8" s="3"/>
      <x:c r="K8" s="4"/>
      <x:c r="L8" s="4">
        <x:f t="shared" si="1"/>
        <x:v>0</x:v>
      </x:c>
      <x:c r="M8" s="5">
        <x:f t="shared" si="2"/>
        <x:v>0</x:v>
      </x:c>
      <x:c r="N8" s="6"/>
    </x:row>
    <x:row r="9" spans="1:14" ht="20.100000000000001" customHeight="1">
      <x:c r="A9" s="299"/>
      <x:c r="B9" s="3" t="s">
        <x:v>1119</x:v>
      </x:c>
      <x:c r="C9" s="162" t="s">
        <x:v>718</x:v>
      </x:c>
      <x:c r="D9" s="163">
        <x:v>402500</x:v>
      </x:c>
      <x:c r="E9" s="4">
        <x:f t="shared" si="0"/>
        <x:v>40250</x:v>
      </x:c>
      <x:c r="F9" s="45">
        <x:f t="shared" si="3"/>
        <x:v>442750</x:v>
      </x:c>
      <x:c r="G9" s="37"/>
      <x:c r="H9" s="299"/>
      <x:c r="I9" s="3" t="s">
        <x:v>846</x:v>
      </x:c>
      <x:c r="J9" s="3"/>
      <x:c r="K9" s="4"/>
      <x:c r="L9" s="4">
        <x:f>+INT(K9*0.1)</x:f>
        <x:v>0</x:v>
      </x:c>
      <x:c r="M9" s="5">
        <x:f t="shared" si="2"/>
        <x:v>0</x:v>
      </x:c>
      <x:c r="N9" s="6"/>
    </x:row>
    <x:row r="10" spans="1:14" ht="20.100000000000001" customHeight="1">
      <x:c r="A10" s="299"/>
      <x:c r="B10" s="3" t="s">
        <x:v>846</x:v>
      </x:c>
      <x:c r="C10" s="3" t="s">
        <x:v>141</x:v>
      </x:c>
      <x:c r="D10" s="4">
        <x:v>1308000</x:v>
      </x:c>
      <x:c r="E10" s="4">
        <x:f t="shared" si="0"/>
        <x:v>130800</x:v>
      </x:c>
      <x:c r="F10" s="5">
        <x:f t="shared" si="3"/>
        <x:v>1438800</x:v>
      </x:c>
      <x:c r="G10" s="37"/>
      <x:c r="H10" s="299"/>
      <x:c r="I10" s="3"/>
      <x:c r="J10" s="3"/>
      <x:c r="K10" s="4"/>
      <x:c r="L10" s="4">
        <x:f t="shared" si="1"/>
        <x:v>0</x:v>
      </x:c>
      <x:c r="M10" s="5">
        <x:f t="shared" si="2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444</x:v>
      </x:c>
      <x:c r="D11" s="4">
        <x:v>28067660</x:v>
      </x:c>
      <x:c r="E11" s="4">
        <x:f t="shared" si="0"/>
        <x:v>2806766</x:v>
      </x:c>
      <x:c r="F11" s="5">
        <x:f t="shared" si="3"/>
        <x:v>30874426</x:v>
      </x:c>
      <x:c r="G11" s="6"/>
      <x:c r="H11" s="299"/>
      <x:c r="I11" s="3"/>
      <x:c r="J11" s="3"/>
      <x:c r="K11" s="4"/>
      <x:c r="L11" s="4">
        <x:f t="shared" si="1"/>
        <x:v>0</x:v>
      </x:c>
      <x:c r="M11" s="5">
        <x:f t="shared" si="2"/>
        <x:v>0</x:v>
      </x:c>
      <x:c r="N11" s="217"/>
    </x:row>
    <x:row r="12" spans="1:14" ht="20.100000000000001" customHeight="1">
      <x:c r="A12" s="299"/>
      <x:c r="B12" s="162" t="s">
        <x:v>1449</x:v>
      </x:c>
      <x:c r="C12" s="162" t="s">
        <x:v>539</x:v>
      </x:c>
      <x:c r="D12" s="163">
        <x:v>1090000</x:v>
      </x:c>
      <x:c r="E12" s="4">
        <x:f t="shared" si="0"/>
        <x:v>109000</x:v>
      </x:c>
      <x:c r="F12" s="45">
        <x:f t="shared" si="3"/>
        <x:v>1199000</x:v>
      </x:c>
      <x:c r="G12" s="37"/>
      <x:c r="H12" s="299"/>
      <x:c r="I12" s="3"/>
      <x:c r="J12" s="3"/>
      <x:c r="K12" s="4"/>
      <x:c r="L12" s="4">
        <x:f t="shared" si="1"/>
        <x:v>0</x:v>
      </x:c>
      <x:c r="M12" s="5">
        <x:f t="shared" si="2"/>
        <x:v>0</x:v>
      </x:c>
      <x:c r="N12" s="6"/>
    </x:row>
    <x:row r="13" spans="1:14" ht="20.100000000000001" customHeight="1">
      <x:c r="A13" s="299"/>
      <x:c r="B13" s="3" t="s">
        <x:v>938</x:v>
      </x:c>
      <x:c r="C13" s="3" t="s">
        <x:v>953</x:v>
      </x:c>
      <x:c r="D13" s="4">
        <x:v>550000</x:v>
      </x:c>
      <x:c r="E13" s="4">
        <x:f t="shared" si="0"/>
        <x:v>55000</x:v>
      </x:c>
      <x:c r="F13" s="45">
        <x:f t="shared" si="3"/>
        <x:v>605000</x:v>
      </x:c>
      <x:c r="G13" s="37"/>
      <x:c r="H13" s="299"/>
      <x:c r="I13" s="3"/>
      <x:c r="J13" s="3"/>
      <x:c r="K13" s="4"/>
      <x:c r="L13" s="4"/>
      <x:c r="M13" s="5">
        <x:f t="shared" si="2"/>
        <x:v>0</x:v>
      </x:c>
      <x:c r="N13" s="6"/>
    </x:row>
    <x:row r="14" spans="1:14" ht="20.100000000000001" customHeight="1">
      <x:c r="A14" s="299"/>
      <x:c r="B14" s="162" t="s">
        <x:v>1378</x:v>
      </x:c>
      <x:c r="C14" s="162" t="s">
        <x:v>542</x:v>
      </x:c>
      <x:c r="D14" s="163">
        <x:v>1260000</x:v>
      </x:c>
      <x:c r="E14" s="4">
        <x:f t="shared" si="0"/>
        <x:v>126000</x:v>
      </x:c>
      <x:c r="F14" s="45">
        <x:f t="shared" si="3"/>
        <x:v>1386000</x:v>
      </x:c>
      <x:c r="G14" s="6"/>
      <x:c r="H14" s="299"/>
      <x:c r="I14" s="3"/>
      <x:c r="J14" s="3"/>
      <x:c r="K14" s="4"/>
      <x:c r="L14" s="4"/>
      <x:c r="M14" s="5">
        <x:f t="shared" si="2"/>
        <x:v>0</x:v>
      </x:c>
      <x:c r="N14" s="6"/>
    </x:row>
    <x:row r="15" spans="1:14" ht="20.100000000000001" customHeight="1">
      <x:c r="A15" s="299"/>
      <x:c r="B15" s="3" t="s">
        <x:v>976</x:v>
      </x:c>
      <x:c r="C15" s="3"/>
      <x:c r="D15" s="4"/>
      <x:c r="E15" s="4"/>
      <x:c r="F15" s="45">
        <x:f t="shared" si="3"/>
        <x:v>0</x:v>
      </x:c>
      <x:c r="G15" s="37"/>
      <x:c r="H15" s="299"/>
      <x:c r="I15" s="3"/>
      <x:c r="J15" s="3"/>
      <x:c r="K15" s="4"/>
      <x:c r="L15" s="4"/>
      <x:c r="M15" s="5">
        <x:f t="shared" si="2"/>
        <x:v>0</x:v>
      </x:c>
      <x:c r="N15" s="6"/>
    </x:row>
    <x:row r="16" spans="1:14" ht="20.100000000000001" customHeight="1">
      <x:c r="A16" s="299"/>
      <x:c r="B16" s="154"/>
      <x:c r="C16" s="155"/>
      <x:c r="D16" s="156"/>
      <x:c r="E16" s="156"/>
      <x:c r="F16" s="157">
        <x:f>+D16+E16</x:f>
        <x:v>0</x:v>
      </x:c>
      <x:c r="G16" s="158"/>
      <x:c r="H16" s="299"/>
      <x:c r="I16" s="3"/>
      <x:c r="J16" s="3"/>
      <x:c r="K16" s="4"/>
      <x:c r="L16" s="4"/>
      <x:c r="M16" s="5">
        <x:f t="shared" si="2"/>
        <x:v>0</x:v>
      </x:c>
      <x:c r="N16" s="6"/>
    </x:row>
    <x:row r="17" spans="1:14" ht="20.100000000000001" customHeight="1">
      <x:c r="A17" s="300"/>
      <x:c r="B17" s="3"/>
      <x:c r="C17" s="3"/>
      <x:c r="D17" s="4"/>
      <x:c r="E17" s="4"/>
      <x:c r="F17" s="45">
        <x:f>+D17+E17</x:f>
        <x:v>0</x:v>
      </x:c>
      <x:c r="G17" s="6"/>
      <x:c r="H17" s="300"/>
      <x:c r="I17" s="3"/>
      <x:c r="J17" s="3"/>
      <x:c r="K17" s="4"/>
      <x:c r="L17" s="4"/>
      <x:c r="M17" s="5">
        <x:f t="shared" si="2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9">
        <x:f>SUM(D5:D17)</x:f>
        <x:v>98575290</x:v>
      </x:c>
      <x:c r="E18" s="9">
        <x:f>SUM(E5:E17)</x:f>
        <x:v>9857529</x:v>
      </x:c>
      <x:c r="F18" s="10">
        <x:f>SUM(F5:F17)</x:f>
        <x:v>108432819</x:v>
      </x:c>
      <x:c r="G18" s="11"/>
      <x:c r="H18" s="7"/>
      <x:c r="I18" s="8"/>
      <x:c r="J18" s="8"/>
      <x:c r="K18" s="9">
        <x:f>SUM(K5:K17)</x:f>
        <x:v>0</x:v>
      </x:c>
      <x:c r="L18" s="9">
        <x:f>SUM(L5:L17)</x:f>
        <x:v>0</x:v>
      </x:c>
      <x:c r="M18" s="10">
        <x:f>SUM(M5:M17)</x:f>
        <x:v>0</x:v>
      </x:c>
      <x:c r="N18" s="11"/>
    </x:row>
    <x:row r="19" spans="1:14" ht="20.100000000000001" customHeight="1">
      <x:c r="A19" s="301" t="s">
        <x:v>153</x:v>
      </x:c>
      <x:c r="B19" s="3" t="s">
        <x:v>1677</x:v>
      </x:c>
      <x:c r="C19" s="3" t="s">
        <x:v>1079</x:v>
      </x:c>
      <x:c r="D19" s="44">
        <x:v>23698000</x:v>
      </x:c>
      <x:c r="E19" s="44"/>
      <x:c r="F19" s="45">
        <x:f>+D19+E19</x:f>
        <x:v>23698000</x:v>
      </x:c>
      <x:c r="G19" s="37"/>
      <x:c r="H19" s="301" t="s">
        <x:v>153</x:v>
      </x:c>
      <x:c r="I19" s="3" t="s">
        <x:v>1677</x:v>
      </x:c>
      <x:c r="J19" s="3" t="s">
        <x:v>309</x:v>
      </x:c>
      <x:c r="K19" s="4">
        <x:v>1800000</x:v>
      </x:c>
      <x:c r="L19" s="4"/>
      <x:c r="M19" s="5">
        <x:f t="shared" si="2"/>
        <x:v>1800000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1368</x:v>
      </x:c>
      <x:c r="D20" s="4">
        <x:v>20352500</x:v>
      </x:c>
      <x:c r="E20" s="4">
        <x:v>478250</x:v>
      </x:c>
      <x:c r="F20" s="5">
        <x:f>+D20+E20</x:f>
        <x:v>20830750</x:v>
      </x:c>
      <x:c r="G20" s="37"/>
      <x:c r="H20" s="299"/>
      <x:c r="I20" s="3"/>
      <x:c r="J20" s="3"/>
      <x:c r="K20" s="4"/>
      <x:c r="L20" s="4"/>
      <x:c r="M20" s="5">
        <x:f t="shared" si="2"/>
        <x:v>0</x:v>
      </x:c>
      <x:c r="N20" s="6"/>
    </x:row>
    <x:row r="21" spans="1:22" s="2" customFormat="1" ht="20.100000000000001" customHeight="1">
      <x:c r="A21" s="299"/>
      <x:c r="B21" s="3" t="s">
        <x:v>1241</x:v>
      </x:c>
      <x:c r="C21" s="3" t="s">
        <x:v>1389</x:v>
      </x:c>
      <x:c r="D21" s="4">
        <x:v>11485000</x:v>
      </x:c>
      <x:c r="E21" s="4"/>
      <x:c r="F21" s="5">
        <x:f>+D21+E21</x:f>
        <x:v>11485000</x:v>
      </x:c>
      <x:c r="G21" s="37"/>
      <x:c r="H21" s="299"/>
      <x:c r="I21" s="3"/>
      <x:c r="J21" s="3"/>
      <x:c r="K21" s="4"/>
      <x:c r="L21" s="4"/>
      <x:c r="M21" s="5">
        <x:f t="shared" si="2"/>
        <x:v>0</x:v>
      </x:c>
      <x:c r="N21" s="6"/>
      <x:c r="V21" s="1"/>
    </x:row>
    <x:row r="22" spans="1:22" s="2" customFormat="1" ht="20.100000000000001" customHeight="1">
      <x:c r="A22" s="299"/>
      <x:c r="B22" s="3" t="s">
        <x:v>1241</x:v>
      </x:c>
      <x:c r="C22" s="3" t="s">
        <x:v>547</x:v>
      </x:c>
      <x:c r="D22" s="4">
        <x:v>58380000</x:v>
      </x:c>
      <x:c r="E22" s="4">
        <x:v>1700000</x:v>
      </x:c>
      <x:c r="F22" s="5">
        <x:f>+D22+E22</x:f>
        <x:v>60080000</x:v>
      </x:c>
      <x:c r="G22" s="37"/>
      <x:c r="H22" s="299"/>
      <x:c r="I22" s="3"/>
      <x:c r="J22" s="3"/>
      <x:c r="K22" s="4"/>
      <x:c r="L22" s="4"/>
      <x:c r="M22" s="5"/>
      <x:c r="N22" s="6"/>
      <x:c r="V22" s="1"/>
    </x:row>
    <x:row r="23" spans="1:22" s="2" customFormat="1" ht="20.100000000000001" customHeight="1">
      <x:c r="A23" s="300"/>
      <x:c r="B23" s="3" t="s">
        <x:v>1241</x:v>
      </x:c>
      <x:c r="C23" s="3" t="s">
        <x:v>168</x:v>
      </x:c>
      <x:c r="D23" s="4">
        <x:v>7820000</x:v>
      </x:c>
      <x:c r="E23" s="4"/>
      <x:c r="F23" s="5">
        <x:f>+D23+E23</x:f>
        <x:v>7820000</x:v>
      </x:c>
      <x:c r="G23" s="6"/>
      <x:c r="H23" s="300"/>
      <x:c r="I23" s="3"/>
      <x:c r="J23" s="3"/>
      <x:c r="K23" s="4"/>
      <x:c r="L23" s="4"/>
      <x:c r="M23" s="5">
        <x:f t="shared" si="2"/>
        <x:v>0</x:v>
      </x:c>
      <x:c r="N23" s="6"/>
      <x:c r="V23" s="1"/>
    </x:row>
    <x:row r="24" spans="1:22" s="2" customFormat="1" ht="20.100000000000001" customHeight="1">
      <x:c r="A24" s="7" t="s">
        <x:v>155</x:v>
      </x:c>
      <x:c r="B24" s="8"/>
      <x:c r="C24" s="8"/>
      <x:c r="D24" s="9">
        <x:f>SUM(D19:D23)</x:f>
        <x:v>121735500</x:v>
      </x:c>
      <x:c r="E24" s="9">
        <x:f>SUM(E19:E23)</x:f>
        <x:v>2178250</x:v>
      </x:c>
      <x:c r="F24" s="10">
        <x:f>SUM(F19:F23)</x:f>
        <x:v>123913750</x:v>
      </x:c>
      <x:c r="G24" s="11"/>
      <x:c r="H24" s="7"/>
      <x:c r="I24" s="8"/>
      <x:c r="J24" s="8"/>
      <x:c r="K24" s="9">
        <x:f>SUM(K19:K23)</x:f>
        <x:v>1800000</x:v>
      </x:c>
      <x:c r="L24" s="9">
        <x:f>SUM(L19:L23)</x:f>
        <x:v>0</x:v>
      </x:c>
      <x:c r="M24" s="10">
        <x:f>SUM(M19:M23)</x:f>
        <x:v>1800000</x:v>
      </x:c>
      <x:c r="N24" s="11"/>
      <x:c r="V24" s="1"/>
    </x:row>
    <x:row r="25" spans="1:22" s="2" customFormat="1" ht="20.100000000000001" customHeight="1">
      <x:c r="A25" s="301" t="s">
        <x:v>187</x:v>
      </x:c>
      <x:c r="B25" s="3" t="s">
        <x:v>1321</x:v>
      </x:c>
      <x:c r="C25" s="3" t="s">
        <x:v>948</x:v>
      </x:c>
      <x:c r="D25" s="4">
        <x:v>480000</x:v>
      </x:c>
      <x:c r="E25" s="4">
        <x:f>+D25*0.1</x:f>
        <x:v>48000</x:v>
      </x:c>
      <x:c r="F25" s="5">
        <x:f>+D25+E25</x:f>
        <x:v>528000</x:v>
      </x:c>
      <x:c r="G25" s="6"/>
      <x:c r="H25" s="301" t="s">
        <x:v>187</x:v>
      </x:c>
      <x:c r="I25" s="3"/>
      <x:c r="J25" s="3"/>
      <x:c r="K25" s="4"/>
      <x:c r="L25" s="4"/>
      <x:c r="M25" s="5">
        <x:f>+K25+L25</x:f>
        <x:v>0</x:v>
      </x:c>
      <x:c r="N25" s="6"/>
      <x:c r="V25" s="1"/>
    </x:row>
    <x:row r="26" spans="1:22" s="2" customFormat="1" ht="20.100000000000001" customHeight="1">
      <x:c r="A26" s="299"/>
      <x:c r="B26" s="3" t="s">
        <x:v>436</x:v>
      </x:c>
      <x:c r="C26" s="3" t="s">
        <x:v>1390</x:v>
      </x:c>
      <x:c r="D26" s="4">
        <x:v>540000</x:v>
      </x:c>
      <x:c r="E26" s="4">
        <x:f>+D26*0.1</x:f>
        <x:v>54000</x:v>
      </x:c>
      <x:c r="F26" s="5">
        <x:f>+D26+E26</x:f>
        <x:v>594000</x:v>
      </x:c>
      <x:c r="G26" s="6"/>
      <x:c r="H26" s="299"/>
      <x:c r="I26" s="3"/>
      <x:c r="J26" s="3"/>
      <x:c r="K26" s="4"/>
      <x:c r="L26" s="4"/>
      <x:c r="M26" s="5">
        <x:f>+K26+L26</x:f>
        <x:v>0</x:v>
      </x:c>
      <x:c r="N26" s="6"/>
      <x:c r="V26" s="1"/>
    </x:row>
    <x:row r="27" spans="1:22" s="2" customFormat="1" ht="20.100000000000001" customHeight="1">
      <x:c r="A27" s="299"/>
      <x:c r="B27" s="3" t="s">
        <x:v>1387</x:v>
      </x:c>
      <x:c r="C27" s="3" t="s">
        <x:v>157</x:v>
      </x:c>
      <x:c r="D27" s="4"/>
      <x:c r="E27" s="4"/>
      <x:c r="F27" s="5">
        <x:f>+D27+E27</x:f>
        <x:v>0</x:v>
      </x:c>
      <x:c r="G27" s="6"/>
      <x:c r="H27" s="299"/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300"/>
      <x:c r="B28" s="3"/>
      <x:c r="C28" s="3"/>
      <x:c r="D28" s="4"/>
      <x:c r="E28" s="4"/>
      <x:c r="F28" s="5">
        <x:f>+D28+E28</x:f>
        <x:v>0</x:v>
      </x:c>
      <x:c r="G28" s="6"/>
      <x:c r="H28" s="300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7" t="s">
        <x:v>155</x:v>
      </x:c>
      <x:c r="B29" s="8"/>
      <x:c r="C29" s="8"/>
      <x:c r="D29" s="9">
        <x:f>SUM(D25:D28)</x:f>
        <x:v>1020000</x:v>
      </x:c>
      <x:c r="E29" s="9">
        <x:f>SUM(E25:E28)</x:f>
        <x:v>102000</x:v>
      </x:c>
      <x:c r="F29" s="10">
        <x:f>SUM(F25:F28)</x:f>
        <x:v>1122000</x:v>
      </x:c>
      <x:c r="G29" s="11"/>
      <x:c r="H29" s="7"/>
      <x:c r="I29" s="8"/>
      <x:c r="J29" s="8"/>
      <x:c r="K29" s="9">
        <x:f>SUM(K25:K28)</x:f>
        <x:v>0</x:v>
      </x:c>
      <x:c r="L29" s="9">
        <x:f>SUM(L25:L28)</x:f>
        <x:v>0</x:v>
      </x:c>
      <x:c r="M29" s="10">
        <x:f>SUM(M25:M28)</x:f>
        <x:v>0</x:v>
      </x:c>
      <x:c r="N29" s="11"/>
      <x:c r="V29" s="1"/>
    </x:row>
    <x:row r="30" spans="1:22" s="2" customFormat="1" ht="20.100000000000001" customHeight="1">
      <x:c r="A30" s="301" t="s">
        <x:v>149</x:v>
      </x:c>
      <x:c r="B30" s="3" t="s">
        <x:v>185</x:v>
      </x:c>
      <x:c r="C30" s="3" t="s">
        <x:v>149</x:v>
      </x:c>
      <x:c r="D30" s="4">
        <x:v>1240220</x:v>
      </x:c>
      <x:c r="E30" s="44"/>
      <x:c r="F30" s="5">
        <x:f>+D30+E30</x:f>
        <x:v>1240220</x:v>
      </x:c>
      <x:c r="G30" s="6"/>
      <x:c r="H30" s="301" t="s">
        <x:v>149</x:v>
      </x:c>
      <x:c r="I30" s="3" t="s">
        <x:v>169</x:v>
      </x:c>
      <x:c r="J30" s="3" t="s">
        <x:v>149</x:v>
      </x:c>
      <x:c r="K30" s="4"/>
      <x:c r="L30" s="4"/>
      <x:c r="M30" s="5">
        <x:f t="shared" ref="M30:M38" si="4">+K30+L30</x:f>
        <x:v>0</x:v>
      </x:c>
      <x:c r="N30" s="6"/>
      <x:c r="V30" s="1"/>
    </x:row>
    <x:row r="31" spans="1:22" s="2" customFormat="1" ht="20.100000000000001" customHeight="1">
      <x:c r="A31" s="299"/>
      <x:c r="B31" s="3" t="s">
        <x:v>1274</x:v>
      </x:c>
      <x:c r="C31" s="3" t="s">
        <x:v>962</x:v>
      </x:c>
      <x:c r="D31" s="4">
        <x:v>505454</x:v>
      </x:c>
      <x:c r="E31" s="4">
        <x:f>+D31*0.1+1</x:f>
        <x:v>50546.400000000001</x:v>
      </x:c>
      <x:c r="F31" s="5">
        <x:f>+D31+E31</x:f>
        <x:v>556000.40000000002</x:v>
      </x:c>
      <x:c r="G31" s="6"/>
      <x:c r="H31" s="299"/>
      <x:c r="I31" s="3" t="s">
        <x:v>1205</x:v>
      </x:c>
      <x:c r="J31" s="3" t="s">
        <x:v>28</x:v>
      </x:c>
      <x:c r="K31" s="4">
        <x:v>65454</x:v>
      </x:c>
      <x:c r="L31" s="4">
        <x:f>+K31*0.1+1</x:f>
        <x:v>6546.4000000000005</x:v>
      </x:c>
      <x:c r="M31" s="5">
        <x:f t="shared" si="4"/>
        <x:v>72000.399999999994</x:v>
      </x:c>
      <x:c r="N31" s="6"/>
      <x:c r="V31" s="1"/>
    </x:row>
    <x:row r="32" spans="1:22" s="2" customFormat="1" ht="20.100000000000001" customHeight="1">
      <x:c r="A32" s="299"/>
      <x:c r="B32" s="3" t="s">
        <x:v>1313</x:v>
      </x:c>
      <x:c r="C32" s="3" t="s">
        <x:v>825</x:v>
      </x:c>
      <x:c r="D32" s="4">
        <x:v>121000</x:v>
      </x:c>
      <x:c r="E32" s="4">
        <x:f>+D32*0.1</x:f>
        <x:v>12100</x:v>
      </x:c>
      <x:c r="F32" s="5">
        <x:f t="shared" ref="F32:F40" si="5">+D32+E32</x:f>
        <x:v>133100</x:v>
      </x:c>
      <x:c r="G32" s="6"/>
      <x:c r="H32" s="299"/>
      <x:c r="I32" s="3" t="s">
        <x:v>1680</x:v>
      </x:c>
      <x:c r="J32" s="3" t="s">
        <x:v>1695</x:v>
      </x:c>
      <x:c r="K32" s="4"/>
      <x:c r="L32" s="4">
        <x:f>+K32*0.1</x:f>
        <x:v>0</x:v>
      </x:c>
      <x:c r="M32" s="5">
        <x:f t="shared" si="4"/>
        <x:v>0</x:v>
      </x:c>
      <x:c r="N32" s="6" t="s">
        <x:v>266</x:v>
      </x:c>
      <x:c r="V32" s="1"/>
    </x:row>
    <x:row r="33" spans="1:22" s="2" customFormat="1" ht="20.100000000000001" customHeight="1">
      <x:c r="A33" s="299"/>
      <x:c r="B33" s="3" t="s">
        <x:v>994</x:v>
      </x:c>
      <x:c r="C33" s="3" t="s">
        <x:v>8</x:v>
      </x:c>
      <x:c r="D33" s="4">
        <x:v>420001</x:v>
      </x:c>
      <x:c r="E33" s="4">
        <x:v>41999</x:v>
      </x:c>
      <x:c r="F33" s="5">
        <x:f t="shared" si="5"/>
        <x:v>462000</x:v>
      </x:c>
      <x:c r="G33" s="6"/>
      <x:c r="H33" s="299"/>
      <x:c r="I33" s="3" t="s">
        <x:v>1120</x:v>
      </x:c>
      <x:c r="J33" s="3" t="s">
        <x:v>167</x:v>
      </x:c>
      <x:c r="K33" s="4"/>
      <x:c r="L33" s="4">
        <x:f>+K33*0.1</x:f>
        <x:v>0</x:v>
      </x:c>
      <x:c r="M33" s="5">
        <x:f t="shared" si="4"/>
        <x:v>0</x:v>
      </x:c>
      <x:c r="N33" s="6"/>
      <x:c r="V33" s="1"/>
    </x:row>
    <x:row r="34" spans="1:22" s="2" customFormat="1" ht="20.100000000000001" customHeight="1">
      <x:c r="A34" s="299"/>
      <x:c r="B34" s="3" t="s">
        <x:v>1680</x:v>
      </x:c>
      <x:c r="C34" s="3" t="s">
        <x:v>1695</x:v>
      </x:c>
      <x:c r="D34" s="4">
        <x:v>100000</x:v>
      </x:c>
      <x:c r="E34" s="4">
        <x:f>+D34*0.1</x:f>
        <x:v>10000</x:v>
      </x:c>
      <x:c r="F34" s="5">
        <x:f t="shared" si="5"/>
        <x:v>110000</x:v>
      </x:c>
      <x:c r="G34" s="6"/>
      <x:c r="H34" s="299"/>
      <x:c r="I34" s="3" t="s">
        <x:v>247</x:v>
      </x:c>
      <x:c r="J34" s="3" t="s">
        <x:v>231</x:v>
      </x:c>
      <x:c r="K34" s="4"/>
      <x:c r="L34" s="4">
        <x:f>+K34*0.1</x:f>
        <x:v>0</x:v>
      </x:c>
      <x:c r="M34" s="5">
        <x:f t="shared" si="4"/>
        <x:v>0</x:v>
      </x:c>
      <x:c r="N34" s="6"/>
      <x:c r="V34" s="1"/>
    </x:row>
    <x:row r="35" spans="1:22" s="2" customFormat="1" ht="20.100000000000001" customHeight="1">
      <x:c r="A35" s="299"/>
      <x:c r="B35" s="3" t="s">
        <x:v>247</x:v>
      </x:c>
      <x:c r="C35" s="3" t="s">
        <x:v>231</x:v>
      </x:c>
      <x:c r="D35" s="4">
        <x:f>20000+3500</x:f>
        <x:v>23500</x:v>
      </x:c>
      <x:c r="E35" s="4">
        <x:f>2000+350</x:f>
        <x:v>2350</x:v>
      </x:c>
      <x:c r="F35" s="5">
        <x:f t="shared" si="5"/>
        <x:v>25850</x:v>
      </x:c>
      <x:c r="G35" s="146" t="s">
        <x:v>1451</x:v>
      </x:c>
      <x:c r="H35" s="299"/>
      <x:c r="I35" s="3"/>
      <x:c r="J35" s="3"/>
      <x:c r="K35" s="4"/>
      <x:c r="L35" s="4">
        <x:f>+K35*0.1</x:f>
        <x:v>0</x:v>
      </x:c>
      <x:c r="M35" s="5">
        <x:f t="shared" si="4"/>
        <x:v>0</x:v>
      </x:c>
      <x:c r="N35" s="6"/>
      <x:c r="V35" s="1"/>
    </x:row>
    <x:row r="36" spans="1:22" s="2" customFormat="1" ht="20.100000000000001" customHeight="1">
      <x:c r="A36" s="299"/>
      <x:c r="B36" s="3" t="s">
        <x:v>1304</x:v>
      </x:c>
      <x:c r="C36" s="3" t="s">
        <x:v>167</x:v>
      </x:c>
      <x:c r="D36" s="4"/>
      <x:c r="E36" s="4">
        <x:f>+D36*0.1</x:f>
        <x:v>0</x:v>
      </x:c>
      <x:c r="F36" s="5">
        <x:f t="shared" si="5"/>
        <x:v>0</x:v>
      </x:c>
      <x:c r="G36" s="146"/>
      <x:c r="H36" s="299"/>
      <x:c r="I36" s="3"/>
      <x:c r="J36" s="3"/>
      <x:c r="K36" s="4"/>
      <x:c r="L36" s="209">
        <x:f>+INT(K36*0.1)</x:f>
        <x:v>0</x:v>
      </x:c>
      <x:c r="M36" s="5">
        <x:f t="shared" si="4"/>
        <x:v>0</x:v>
      </x:c>
      <x:c r="N36" s="6"/>
      <x:c r="V36" s="1"/>
    </x:row>
    <x:row r="37" spans="1:22" s="2" customFormat="1" ht="20.100000000000001" customHeight="1">
      <x:c r="A37" s="299"/>
      <x:c r="B37" s="3" t="s">
        <x:v>238</x:v>
      </x:c>
      <x:c r="C37" s="3" t="s">
        <x:v>405</x:v>
      </x:c>
      <x:c r="D37" s="4">
        <x:v>420000</x:v>
      </x:c>
      <x:c r="E37" s="4"/>
      <x:c r="F37" s="5">
        <x:f t="shared" si="5"/>
        <x:v>420000</x:v>
      </x:c>
      <x:c r="G37" s="146" t="s">
        <x:v>185</x:v>
      </x:c>
      <x:c r="H37" s="299"/>
      <x:c r="I37" s="3"/>
      <x:c r="J37" s="3"/>
      <x:c r="K37" s="4"/>
      <x:c r="L37" s="209"/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270</x:v>
      </x:c>
      <x:c r="C38" s="3" t="s">
        <x:v>134</x:v>
      </x:c>
      <x:c r="D38" s="4">
        <x:v>290000</x:v>
      </x:c>
      <x:c r="E38" s="4"/>
      <x:c r="F38" s="5">
        <x:f t="shared" si="5"/>
        <x:v>290000</x:v>
      </x:c>
      <x:c r="G38" s="146" t="s">
        <x:v>271</x:v>
      </x:c>
      <x:c r="H38" s="299"/>
      <x:c r="I38" s="3"/>
      <x:c r="J38" s="3"/>
      <x:c r="K38" s="4"/>
      <x:c r="L38" s="4">
        <x:f>+K38*0.1</x:f>
        <x:v>0</x:v>
      </x:c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 t="s">
        <x:v>973</x:v>
      </x:c>
      <x:c r="C39" s="3" t="s">
        <x:v>303</x:v>
      </x:c>
      <x:c r="D39" s="4">
        <x:v>90909</x:v>
      </x:c>
      <x:c r="E39" s="4">
        <x:v>9091</x:v>
      </x:c>
      <x:c r="F39" s="5">
        <x:f t="shared" si="5"/>
        <x:v>100000</x:v>
      </x:c>
      <x:c r="G39" s="146"/>
      <x:c r="H39" s="299"/>
      <x:c r="I39" s="3"/>
      <x:c r="J39" s="3"/>
      <x:c r="K39" s="4"/>
      <x:c r="L39" s="4"/>
      <x:c r="M39" s="5"/>
      <x:c r="N39" s="6"/>
      <x:c r="V39" s="1"/>
    </x:row>
    <x:row r="40" spans="1:22" s="2" customFormat="1" ht="20.100000000000001" customHeight="1">
      <x:c r="A40" s="300"/>
      <x:c r="B40" s="3" t="s">
        <x:v>456</x:v>
      </x:c>
      <x:c r="C40" s="3" t="s">
        <x:v>1527</x:v>
      </x:c>
      <x:c r="D40" s="4">
        <x:v>1921360</x:v>
      </x:c>
      <x:c r="E40" s="4"/>
      <x:c r="F40" s="5">
        <x:f t="shared" si="5"/>
        <x:v>1921360</x:v>
      </x:c>
      <x:c r="G40" s="6"/>
      <x:c r="H40" s="300"/>
      <x:c r="I40" s="3"/>
      <x:c r="J40" s="3"/>
      <x:c r="K40" s="4"/>
      <x:c r="L40" s="4"/>
      <x:c r="M40" s="5">
        <x:f>+K40+L40</x:f>
        <x:v>0</x:v>
      </x:c>
      <x:c r="N40" s="6"/>
      <x:c r="V40" s="1"/>
    </x:row>
    <x:row r="41" spans="1:22" s="2" customFormat="1" ht="20.100000000000001" customHeight="1">
      <x:c r="A41" s="7" t="s">
        <x:v>155</x:v>
      </x:c>
      <x:c r="B41" s="8"/>
      <x:c r="C41" s="8"/>
      <x:c r="D41" s="9">
        <x:f>SUM(D30:D40)</x:f>
        <x:v>5132444</x:v>
      </x:c>
      <x:c r="E41" s="9">
        <x:f>SUM(E30:E40)</x:f>
        <x:v>126086.39999999999</x:v>
      </x:c>
      <x:c r="F41" s="10">
        <x:f>SUM(F30:F40)</x:f>
        <x:v>5258530.4000000004</x:v>
      </x:c>
      <x:c r="G41" s="11"/>
      <x:c r="H41" s="7"/>
      <x:c r="I41" s="8"/>
      <x:c r="J41" s="8"/>
      <x:c r="K41" s="9">
        <x:f>SUM(K30:K40)</x:f>
        <x:v>65454</x:v>
      </x:c>
      <x:c r="L41" s="9">
        <x:f>SUM(L30:L40)</x:f>
        <x:v>6546.4000000000005</x:v>
      </x:c>
      <x:c r="M41" s="10">
        <x:f>SUM(M30:M40)</x:f>
        <x:v>72000.399999999994</x:v>
      </x:c>
      <x:c r="N41" s="11"/>
      <x:c r="V41" s="1"/>
    </x:row>
    <x:row r="42" spans="1:22" s="2" customFormat="1" ht="20.100000000000001" customHeight="1">
      <x:c r="A42" s="12" t="s">
        <x:v>1690</x:v>
      </x:c>
      <x:c r="B42" s="13"/>
      <x:c r="C42" s="13"/>
      <x:c r="D42" s="14">
        <x:f>+D18+D24+D29+D41</x:f>
        <x:v>226463234</x:v>
      </x:c>
      <x:c r="E42" s="14">
        <x:f>+E18+E24+E29+E41</x:f>
        <x:v>12263865.4</x:v>
      </x:c>
      <x:c r="F42" s="15">
        <x:f>+F18+F24+F29+F41</x:f>
        <x:v>238727099.40000001</x:v>
      </x:c>
      <x:c r="G42" s="16"/>
      <x:c r="H42" s="12"/>
      <x:c r="I42" s="13"/>
      <x:c r="J42" s="13"/>
      <x:c r="K42" s="14">
        <x:f>+K18+K24+K29+K41</x:f>
        <x:v>1865454</x:v>
      </x:c>
      <x:c r="L42" s="14">
        <x:f>+L18+L24+L29+L41</x:f>
        <x:v>6546.4000000000005</x:v>
      </x:c>
      <x:c r="M42" s="15">
        <x:f>+M18+M24+M29+M41</x:f>
        <x:v>1872000.3999999999</x:v>
      </x:c>
      <x:c r="N42" s="16"/>
      <x:c r="V42" s="1"/>
    </x:row>
    <x:row r="43" spans="1:22" s="2" customFormat="1" ht="20.100000000000001" customHeight="1">
      <x:c r="A43" s="23" t="s">
        <x:v>35</x:v>
      </x:c>
      <x:c r="B43" s="24"/>
      <x:c r="C43" s="24"/>
      <x:c r="D43" s="25">
        <x:f>+D4-D42</x:f>
        <x:v>-3523234</x:v>
      </x:c>
      <x:c r="E43" s="25">
        <x:f>+E4-E42</x:f>
        <x:v>-5203865.4000000004</x:v>
      </x:c>
      <x:c r="F43" s="26">
        <x:f>+F4-F42</x:f>
        <x:v>-8727099.400000006</x:v>
      </x:c>
      <x:c r="G43" s="27"/>
      <x:c r="H43" s="23"/>
      <x:c r="I43" s="24"/>
      <x:c r="J43" s="24"/>
      <x:c r="K43" s="25">
        <x:f>+K4-K42</x:f>
        <x:v>-1865454</x:v>
      </x:c>
      <x:c r="L43" s="25">
        <x:f>+L4-L42</x:f>
        <x:v>-6546.4000000000005</x:v>
      </x:c>
      <x:c r="M43" s="26">
        <x:f>+M4-M42</x:f>
        <x:v>-1872000.3999999999</x:v>
      </x:c>
      <x:c r="N43" s="27"/>
      <x:c r="V43" s="1"/>
    </x:row>
    <x:row r="44" spans="1:22" s="2" customFormat="1" ht="20.100000000000001" customHeight="1">
      <x:c r="A44" s="302" t="s">
        <x:v>410</x:v>
      </x:c>
      <x:c r="B44" s="303"/>
      <x:c r="C44" s="303"/>
      <x:c r="D44" s="303"/>
      <x:c r="E44" s="303"/>
      <x:c r="F44" s="304"/>
      <x:c r="G44" s="305"/>
      <x:c r="H44" s="302" t="s">
        <x:v>789</x:v>
      </x:c>
      <x:c r="I44" s="303"/>
      <x:c r="J44" s="303"/>
      <x:c r="K44" s="303"/>
      <x:c r="L44" s="303"/>
      <x:c r="M44" s="304"/>
      <x:c r="N44" s="305"/>
      <x:c r="V44" s="1"/>
    </x:row>
    <x:row r="45" spans="1:22" s="2" customFormat="1" ht="20.100000000000001" customHeight="1">
      <x:c r="A45" s="29" t="s">
        <x:v>147</x:v>
      </x:c>
      <x:c r="B45" s="220" t="s">
        <x:v>144</x:v>
      </x:c>
      <x:c r="C45" s="220" t="s">
        <x:v>150</x:v>
      </x:c>
      <x:c r="D45" s="31" t="s">
        <x:v>145</x:v>
      </x:c>
      <x:c r="E45" s="31" t="s">
        <x:v>152</x:v>
      </x:c>
      <x:c r="F45" s="31" t="s">
        <x:v>146</x:v>
      </x:c>
      <x:c r="G45" s="34" t="s">
        <x:v>154</x:v>
      </x:c>
      <x:c r="H45" s="29" t="s">
        <x:v>147</x:v>
      </x:c>
      <x:c r="I45" s="220" t="s">
        <x:v>144</x:v>
      </x:c>
      <x:c r="J45" s="220" t="s">
        <x:v>150</x:v>
      </x:c>
      <x:c r="K45" s="31" t="s">
        <x:v>145</x:v>
      </x:c>
      <x:c r="L45" s="31" t="s">
        <x:v>152</x:v>
      </x:c>
      <x:c r="M45" s="32" t="s">
        <x:v>146</x:v>
      </x:c>
      <x:c r="N45" s="33" t="s">
        <x:v>154</x:v>
      </x:c>
      <x:c r="V45" s="1"/>
    </x:row>
    <x:row r="46" spans="1:22" s="2" customFormat="1" ht="20.100000000000001" customHeight="1">
      <x:c r="A46" s="41" t="s">
        <x:v>151</x:v>
      </x:c>
      <x:c r="B46" s="149" t="s">
        <x:v>1679</x:v>
      </x:c>
      <x:c r="C46" s="149" t="s">
        <x:v>488</x:v>
      </x:c>
      <x:c r="D46" s="150">
        <x:f>68000000+12000000</x:f>
        <x:v>80000000</x:v>
      </x:c>
      <x:c r="E46" s="150">
        <x:f>+D46*0.1</x:f>
        <x:v>8000000</x:v>
      </x:c>
      <x:c r="F46" s="40">
        <x:f>+D46+E46</x:f>
        <x:v>88000000</x:v>
      </x:c>
      <x:c r="G46" s="42" t="s">
        <x:v>432</x:v>
      </x:c>
      <x:c r="H46" s="219" t="s">
        <x:v>151</x:v>
      </x:c>
      <x:c r="I46" s="38" t="s">
        <x:v>1679</x:v>
      </x:c>
      <x:c r="J46" s="38" t="s">
        <x:v>156</x:v>
      </x:c>
      <x:c r="K46" s="39">
        <x:v>85700000</x:v>
      </x:c>
      <x:c r="L46" s="39">
        <x:f>+K46*0.1</x:f>
        <x:v>8570000</x:v>
      </x:c>
      <x:c r="M46" s="40">
        <x:f t="shared" ref="M46:M52" si="6">+K46+L46</x:f>
        <x:v>94270000</x:v>
      </x:c>
      <x:c r="N46" s="18"/>
      <x:c r="V46" s="1"/>
    </x:row>
    <x:row r="47" spans="1:22" s="2" customFormat="1" ht="20.100000000000001" customHeight="1">
      <x:c r="A47" s="298" t="s">
        <x:v>148</x:v>
      </x:c>
      <x:c r="B47" s="147" t="s">
        <x:v>867</x:v>
      </x:c>
      <x:c r="C47" s="3" t="s">
        <x:v>374</x:v>
      </x:c>
      <x:c r="D47" s="148">
        <x:v>14247700</x:v>
      </x:c>
      <x:c r="E47" s="148">
        <x:f>+D47*0.1</x:f>
        <x:v>1424770</x:v>
      </x:c>
      <x:c r="F47" s="94">
        <x:f t="shared" ref="F47:F58" si="7">+D47+E47</x:f>
        <x:v>15672470</x:v>
      </x:c>
      <x:c r="G47" s="22"/>
      <x:c r="H47" s="298" t="s">
        <x:v>148</x:v>
      </x:c>
      <x:c r="I47" s="54" t="s">
        <x:v>867</x:v>
      </x:c>
      <x:c r="J47" s="54" t="s">
        <x:v>374</x:v>
      </x:c>
      <x:c r="K47" s="93">
        <x:v>15870000</x:v>
      </x:c>
      <x:c r="L47" s="93">
        <x:f t="shared" ref="L47:L52" si="8">+INT(K47*0.1)</x:f>
        <x:v>1587000</x:v>
      </x:c>
      <x:c r="M47" s="94">
        <x:f t="shared" si="6"/>
        <x:v>17457000</x:v>
      </x:c>
      <x:c r="N47" s="95"/>
      <x:c r="V47" s="1"/>
    </x:row>
    <x:row r="48" spans="1:22" s="2" customFormat="1" ht="20.100000000000001" customHeight="1">
      <x:c r="A48" s="299"/>
      <x:c r="B48" s="147" t="s">
        <x:v>838</x:v>
      </x:c>
      <x:c r="C48" s="3" t="s">
        <x:v>1179</x:v>
      </x:c>
      <x:c r="D48" s="148">
        <x:v>1362644</x:v>
      </x:c>
      <x:c r="E48" s="148">
        <x:f>+D48*0.1</x:f>
        <x:v>136264.39999999999</x:v>
      </x:c>
      <x:c r="F48" s="4">
        <x:f t="shared" si="7"/>
        <x:v>1498908.3999999999</x:v>
      </x:c>
      <x:c r="G48" s="6"/>
      <x:c r="H48" s="299"/>
      <x:c r="I48" s="162" t="s">
        <x:v>1348</x:v>
      </x:c>
      <x:c r="J48" s="162" t="s">
        <x:v>1509</x:v>
      </x:c>
      <x:c r="K48" s="163">
        <x:v>83000</x:v>
      </x:c>
      <x:c r="L48" s="163">
        <x:f t="shared" si="8"/>
        <x:v>8300</x:v>
      </x:c>
      <x:c r="M48" s="164">
        <x:f t="shared" si="6"/>
        <x:v>91300</x:v>
      </x:c>
      <x:c r="N48" s="158"/>
      <x:c r="V48" s="1"/>
    </x:row>
    <x:row r="49" spans="1:22" s="2" customFormat="1" ht="20.100000000000001" customHeight="1">
      <x:c r="A49" s="299"/>
      <x:c r="B49" s="3" t="s">
        <x:v>1315</x:v>
      </x:c>
      <x:c r="C49" s="3" t="s">
        <x:v>1711</x:v>
      </x:c>
      <x:c r="D49" s="4">
        <x:v>4638150</x:v>
      </x:c>
      <x:c r="E49" s="4">
        <x:f>+D49*0.1</x:f>
        <x:v>463815</x:v>
      </x:c>
      <x:c r="F49" s="5">
        <x:f t="shared" si="7"/>
        <x:v>5101965</x:v>
      </x:c>
      <x:c r="G49" s="6"/>
      <x:c r="H49" s="299"/>
      <x:c r="I49" s="3" t="s">
        <x:v>838</x:v>
      </x:c>
      <x:c r="J49" s="3" t="s">
        <x:v>1116</x:v>
      </x:c>
      <x:c r="K49" s="4">
        <x:v>1156000</x:v>
      </x:c>
      <x:c r="L49" s="4">
        <x:f t="shared" si="8"/>
        <x:v>115600</x:v>
      </x:c>
      <x:c r="M49" s="5">
        <x:f t="shared" si="6"/>
        <x:v>1271600</x:v>
      </x:c>
      <x:c r="N49" s="6"/>
      <x:c r="V49" s="1"/>
    </x:row>
    <x:row r="50" spans="1:22" s="2" customFormat="1" ht="20.100000000000001" customHeight="1">
      <x:c r="A50" s="299"/>
      <x:c r="B50" s="3" t="s">
        <x:v>846</x:v>
      </x:c>
      <x:c r="C50" s="3"/>
      <x:c r="D50" s="4"/>
      <x:c r="E50" s="4"/>
      <x:c r="F50" s="5">
        <x:f t="shared" si="7"/>
        <x:v>0</x:v>
      </x:c>
      <x:c r="G50" s="6"/>
      <x:c r="H50" s="299"/>
      <x:c r="I50" s="3" t="s">
        <x:v>1119</x:v>
      </x:c>
      <x:c r="J50" s="3"/>
      <x:c r="K50" s="4"/>
      <x:c r="L50" s="4">
        <x:f t="shared" si="8"/>
        <x:v>0</x:v>
      </x:c>
      <x:c r="M50" s="5">
        <x:f t="shared" si="6"/>
        <x:v>0</x:v>
      </x:c>
      <x:c r="N50" s="6"/>
      <x:c r="V50" s="1"/>
    </x:row>
    <x:row r="51" spans="1:22" s="2" customFormat="1" ht="20.100000000000001" customHeight="1">
      <x:c r="A51" s="299"/>
      <x:c r="B51" s="3" t="s">
        <x:v>1348</x:v>
      </x:c>
      <x:c r="C51" s="3" t="s">
        <x:v>538</x:v>
      </x:c>
      <x:c r="D51" s="4">
        <x:v>726000</x:v>
      </x:c>
      <x:c r="E51" s="4">
        <x:f>+D51*0.1</x:f>
        <x:v>72600</x:v>
      </x:c>
      <x:c r="F51" s="5">
        <x:f t="shared" si="7"/>
        <x:v>798600</x:v>
      </x:c>
      <x:c r="G51" s="6"/>
      <x:c r="H51" s="299"/>
      <x:c r="I51" s="3" t="s">
        <x:v>938</x:v>
      </x:c>
      <x:c r="J51" s="3"/>
      <x:c r="K51" s="4"/>
      <x:c r="L51" s="4">
        <x:f t="shared" si="8"/>
        <x:v>0</x:v>
      </x:c>
      <x:c r="M51" s="5">
        <x:f t="shared" si="6"/>
        <x:v>0</x:v>
      </x:c>
      <x:c r="N51" s="6" t="s">
        <x:v>1431</x:v>
      </x:c>
      <x:c r="V51" s="1"/>
    </x:row>
    <x:row r="52" spans="1:22" s="2" customFormat="1" ht="20.100000000000001" customHeight="1">
      <x:c r="A52" s="299"/>
      <x:c r="B52" s="3" t="s">
        <x:v>1378</x:v>
      </x:c>
      <x:c r="C52" s="3" t="s">
        <x:v>1536</x:v>
      </x:c>
      <x:c r="D52" s="4">
        <x:v>2973970</x:v>
      </x:c>
      <x:c r="E52" s="4">
        <x:f>+D52*0.1</x:f>
        <x:v>297397</x:v>
      </x:c>
      <x:c r="F52" s="5">
        <x:f t="shared" si="7"/>
        <x:v>3271367</x:v>
      </x:c>
      <x:c r="G52" s="6"/>
      <x:c r="H52" s="299"/>
      <x:c r="I52" s="3" t="s">
        <x:v>864</x:v>
      </x:c>
      <x:c r="J52" s="3" t="s">
        <x:v>130</x:v>
      </x:c>
      <x:c r="K52" s="4">
        <x:f>13198760+2552000</x:f>
        <x:v>15750760</x:v>
      </x:c>
      <x:c r="L52" s="4">
        <x:f t="shared" si="8"/>
        <x:v>1575076</x:v>
      </x:c>
      <x:c r="M52" s="5">
        <x:f t="shared" si="6"/>
        <x:v>17325836</x:v>
      </x:c>
      <x:c r="N52" s="6"/>
      <x:c r="V52" s="1"/>
    </x:row>
    <x:row r="53" spans="1:22" s="2" customFormat="1" ht="20.100000000000001" customHeight="1">
      <x:c r="A53" s="299"/>
      <x:c r="B53" s="3" t="s">
        <x:v>938</x:v>
      </x:c>
      <x:c r="C53" s="3"/>
      <x:c r="D53" s="4"/>
      <x:c r="E53" s="4"/>
      <x:c r="F53" s="5">
        <x:f t="shared" si="7"/>
        <x:v>0</x:v>
      </x:c>
      <x:c r="G53" s="6" t="s">
        <x:v>1423</x:v>
      </x:c>
      <x:c r="H53" s="299"/>
      <x:c r="I53" s="3" t="s">
        <x:v>1058</x:v>
      </x:c>
      <x:c r="J53" s="3" t="s">
        <x:v>446</x:v>
      </x:c>
      <x:c r="K53" s="4">
        <x:v>11465550</x:v>
      </x:c>
      <x:c r="L53" s="4">
        <x:f>+INT(K53*0.1)</x:f>
        <x:v>1146555</x:v>
      </x:c>
      <x:c r="M53" s="5">
        <x:f>+K53+L53</x:f>
        <x:v>12612105</x:v>
      </x:c>
      <x:c r="N53" s="6"/>
      <x:c r="V53" s="1"/>
    </x:row>
    <x:row r="54" spans="1:22" s="2" customFormat="1" ht="20.100000000000001" customHeight="1">
      <x:c r="A54" s="299"/>
      <x:c r="B54" s="3" t="s">
        <x:v>864</x:v>
      </x:c>
      <x:c r="C54" s="3" t="s">
        <x:v>130</x:v>
      </x:c>
      <x:c r="D54" s="4">
        <x:f>5700780+560840+650000</x:f>
        <x:v>6911620</x:v>
      </x:c>
      <x:c r="E54" s="4">
        <x:f>+D54*0.1</x:f>
        <x:v>691162</x:v>
      </x:c>
      <x:c r="F54" s="5">
        <x:f t="shared" si="7"/>
        <x:v>7602782</x:v>
      </x:c>
      <x:c r="G54" s="6"/>
      <x:c r="H54" s="299"/>
      <x:c r="I54" s="3" t="s">
        <x:v>1378</x:v>
      </x:c>
      <x:c r="J54" s="3" t="s">
        <x:v>1544</x:v>
      </x:c>
      <x:c r="K54" s="4">
        <x:v>3940300</x:v>
      </x:c>
      <x:c r="L54" s="4">
        <x:f>+INT(K54*0.1)</x:f>
        <x:v>394030</x:v>
      </x:c>
      <x:c r="M54" s="5">
        <x:f>+K54+L54</x:f>
        <x:v>4334330</x:v>
      </x:c>
      <x:c r="N54" s="6"/>
      <x:c r="V54" s="1"/>
    </x:row>
    <x:row r="55" spans="1:22" s="2" customFormat="1" ht="20.100000000000001" customHeight="1">
      <x:c r="A55" s="299"/>
      <x:c r="B55" s="3" t="s">
        <x:v>228</x:v>
      </x:c>
      <x:c r="C55" s="3" t="s">
        <x:v>1499</x:v>
      </x:c>
      <x:c r="D55" s="4">
        <x:v>870000</x:v>
      </x:c>
      <x:c r="E55" s="4">
        <x:f>+D55*0.1</x:f>
        <x:v>87000</x:v>
      </x:c>
      <x:c r="F55" s="5">
        <x:f t="shared" si="7"/>
        <x:v>957000</x:v>
      </x:c>
      <x:c r="G55" s="6"/>
      <x:c r="H55" s="299"/>
      <x:c r="I55" s="3" t="s">
        <x:v>1315</x:v>
      </x:c>
      <x:c r="J55" s="3" t="s">
        <x:v>1711</x:v>
      </x:c>
      <x:c r="K55" s="4">
        <x:v>6434760</x:v>
      </x:c>
      <x:c r="L55" s="4">
        <x:f>+INT(K55*0.1)</x:f>
        <x:v>643476</x:v>
      </x:c>
      <x:c r="M55" s="5">
        <x:f>+K55+L55</x:f>
        <x:v>7078236</x:v>
      </x:c>
      <x:c r="N55" s="6"/>
      <x:c r="V55" s="1"/>
    </x:row>
    <x:row r="56" spans="1:22" s="2" customFormat="1" ht="20.100000000000001" customHeight="1">
      <x:c r="A56" s="299"/>
      <x:c r="B56" s="3" t="s">
        <x:v>1319</x:v>
      </x:c>
      <x:c r="C56" s="3"/>
      <x:c r="D56" s="4"/>
      <x:c r="E56" s="4"/>
      <x:c r="F56" s="5">
        <x:f t="shared" si="7"/>
        <x:v>0</x:v>
      </x:c>
      <x:c r="G56" s="6"/>
      <x:c r="H56" s="299"/>
      <x:c r="I56" s="3" t="s">
        <x:v>846</x:v>
      </x:c>
      <x:c r="J56" s="3"/>
      <x:c r="K56" s="4"/>
      <x:c r="L56" s="4">
        <x:f>+INT(K56*0.1)</x:f>
        <x:v>0</x:v>
      </x:c>
      <x:c r="M56" s="5">
        <x:f>+K56+L56</x:f>
        <x:v>0</x:v>
      </x:c>
      <x:c r="N56" s="6" t="s">
        <x:v>1431</x:v>
      </x:c>
      <x:c r="V56" s="1"/>
    </x:row>
    <x:row r="57" spans="1:22" s="2" customFormat="1" ht="20.100000000000001" customHeight="1">
      <x:c r="A57" s="299"/>
      <x:c r="B57" s="3" t="s">
        <x:v>1443</x:v>
      </x:c>
      <x:c r="C57" s="3" t="s">
        <x:v>179</x:v>
      </x:c>
      <x:c r="D57" s="4">
        <x:v>3290000</x:v>
      </x:c>
      <x:c r="E57" s="4">
        <x:f t="shared" ref="E57:E58" si="9">+D57*0.1</x:f>
        <x:v>329000</x:v>
      </x:c>
      <x:c r="F57" s="5">
        <x:f t="shared" si="7"/>
        <x:v>3619000</x:v>
      </x:c>
      <x:c r="G57" s="6"/>
      <x:c r="H57" s="299"/>
      <x:c r="I57" s="3" t="s">
        <x:v>846</x:v>
      </x:c>
      <x:c r="J57" s="3" t="s">
        <x:v>533</x:v>
      </x:c>
      <x:c r="K57" s="4">
        <x:v>4140700</x:v>
      </x:c>
      <x:c r="L57" s="4">
        <x:f>+INT(K57*0.1)</x:f>
        <x:v>414070</x:v>
      </x:c>
      <x:c r="M57" s="5">
        <x:f>+K57+L57</x:f>
        <x:v>4554770</x:v>
      </x:c>
      <x:c r="N57" s="6"/>
      <x:c r="V57" s="1"/>
    </x:row>
    <x:row r="58" spans="1:22" s="2" customFormat="1" ht="20.100000000000001" customHeight="1">
      <x:c r="A58" s="299"/>
      <x:c r="B58" s="3" t="s">
        <x:v>1443</x:v>
      </x:c>
      <x:c r="C58" s="129" t="s">
        <x:v>1005</x:v>
      </x:c>
      <x:c r="D58" s="4">
        <x:v>184000</x:v>
      </x:c>
      <x:c r="E58" s="4">
        <x:f t="shared" si="9"/>
        <x:v>18400</x:v>
      </x:c>
      <x:c r="F58" s="5">
        <x:f t="shared" si="7"/>
        <x:v>202400</x:v>
      </x:c>
      <x:c r="G58" s="6" t="s">
        <x:v>1423</x:v>
      </x:c>
      <x:c r="H58" s="299"/>
      <x:c r="I58" s="3" t="s">
        <x:v>1510</x:v>
      </x:c>
      <x:c r="J58" s="3" t="s">
        <x:v>1511</x:v>
      </x:c>
      <x:c r="K58" s="4">
        <x:v>500000</x:v>
      </x:c>
      <x:c r="L58" s="4">
        <x:f t="shared" ref="L58:L59" si="10">+INT(K58*0.1)</x:f>
        <x:v>50000</x:v>
      </x:c>
      <x:c r="M58" s="5">
        <x:f t="shared" ref="M58:M59" si="11">+K58+L58</x:f>
        <x:v>550000</x:v>
      </x:c>
      <x:c r="N58" s="6"/>
      <x:c r="V58" s="1"/>
    </x:row>
    <x:row r="59" spans="1:22" s="2" customFormat="1" ht="20.100000000000001" customHeight="1">
      <x:c r="A59" s="299"/>
      <x:c r="B59" s="129" t="s">
        <x:v>1436</x:v>
      </x:c>
      <x:c r="C59" s="129" t="s">
        <x:v>1438</x:v>
      </x:c>
      <x:c r="D59" s="221">
        <x:v>1933400</x:v>
      </x:c>
      <x:c r="E59" s="4">
        <x:f t="shared" ref="E59:E62" si="12">+D59*0.1</x:f>
        <x:v>193340</x:v>
      </x:c>
      <x:c r="F59" s="5">
        <x:f>+D59+E59</x:f>
        <x:v>2126740</x:v>
      </x:c>
      <x:c r="G59" s="6" t="s">
        <x:v>1423</x:v>
      </x:c>
      <x:c r="H59" s="299"/>
      <x:c r="I59" s="3" t="s">
        <x:v>1449</x:v>
      </x:c>
      <x:c r="J59" s="3" t="s">
        <x:v>299</x:v>
      </x:c>
      <x:c r="K59" s="4">
        <x:v>187700</x:v>
      </x:c>
      <x:c r="L59" s="4">
        <x:f t="shared" si="10"/>
        <x:v>18770</x:v>
      </x:c>
      <x:c r="M59" s="5">
        <x:f t="shared" si="11"/>
        <x:v>206470</x:v>
      </x:c>
      <x:c r="N59" s="6"/>
      <x:c r="V59" s="1"/>
    </x:row>
    <x:row r="60" spans="1:22" s="2" customFormat="1" ht="20.100000000000001" customHeight="1">
      <x:c r="A60" s="299"/>
      <x:c r="B60" s="3" t="s">
        <x:v>483</x:v>
      </x:c>
      <x:c r="C60" s="3" t="s">
        <x:v>544</x:v>
      </x:c>
      <x:c r="D60" s="130">
        <x:v>457000</x:v>
      </x:c>
      <x:c r="E60" s="4">
        <x:f t="shared" si="12"/>
        <x:v>45700</x:v>
      </x:c>
      <x:c r="F60" s="5">
        <x:f>+D60+E60</x:f>
        <x:v>502700</x:v>
      </x:c>
      <x:c r="G60" s="6"/>
      <x:c r="H60" s="299"/>
      <x:c r="I60" s="3"/>
      <x:c r="J60" s="3"/>
      <x:c r="K60" s="4"/>
      <x:c r="L60" s="4"/>
      <x:c r="M60" s="5"/>
      <x:c r="N60" s="6"/>
      <x:c r="V60" s="1"/>
    </x:row>
    <x:row r="61" spans="1:22" s="2" customFormat="1" ht="20.100000000000001" customHeight="1">
      <x:c r="A61" s="299"/>
      <x:c r="B61" s="129" t="s">
        <x:v>1039</x:v>
      </x:c>
      <x:c r="C61" s="129" t="s">
        <x:v>1533</x:v>
      </x:c>
      <x:c r="D61" s="4">
        <x:v>2531000</x:v>
      </x:c>
      <x:c r="E61" s="4">
        <x:f t="shared" si="12"/>
        <x:v>253100</x:v>
      </x:c>
      <x:c r="F61" s="5">
        <x:f t="shared" ref="F61:F62" si="13">+D61+E61</x:f>
        <x:v>2784100</x:v>
      </x:c>
      <x:c r="G61" s="6"/>
      <x:c r="H61" s="299"/>
      <x:c r="I61" s="3"/>
      <x:c r="J61" s="3"/>
      <x:c r="K61" s="4"/>
      <x:c r="L61" s="4">
        <x:f>+INT(K61*0.1)</x:f>
        <x:v>0</x:v>
      </x:c>
      <x:c r="M61" s="5">
        <x:f>+K61+L61</x:f>
        <x:v>0</x:v>
      </x:c>
      <x:c r="N61" s="6"/>
      <x:c r="V61" s="1"/>
    </x:row>
    <x:row r="62" spans="1:22" s="2" customFormat="1" ht="20.100000000000001" customHeight="1">
      <x:c r="A62" s="299"/>
      <x:c r="B62" s="129" t="s">
        <x:v>1525</x:v>
      </x:c>
      <x:c r="C62" s="129" t="s">
        <x:v>545</x:v>
      </x:c>
      <x:c r="D62" s="4">
        <x:v>300000</x:v>
      </x:c>
      <x:c r="E62" s="4">
        <x:f t="shared" si="12"/>
        <x:v>30000</x:v>
      </x:c>
      <x:c r="F62" s="5">
        <x:f t="shared" si="13"/>
        <x:v>330000</x:v>
      </x:c>
      <x:c r="G62" s="6" t="s">
        <x:v>1423</x:v>
      </x:c>
      <x:c r="H62" s="300"/>
      <x:c r="I62" s="3"/>
      <x:c r="J62" s="3"/>
      <x:c r="K62" s="4"/>
      <x:c r="L62" s="4"/>
      <x:c r="M62" s="5"/>
      <x:c r="N62" s="6"/>
      <x:c r="V62" s="1"/>
    </x:row>
    <x:row r="63" spans="1:22" s="2" customFormat="1" ht="20.100000000000001" customHeight="1">
      <x:c r="A63" s="7"/>
      <x:c r="B63" s="8"/>
      <x:c r="C63" s="8"/>
      <x:c r="D63" s="9">
        <x:f>SUM(D47:D62)</x:f>
        <x:v>40425484</x:v>
      </x:c>
      <x:c r="E63" s="9">
        <x:f>SUM(E47:E62)</x:f>
        <x:v>4042548.3999999999</x:v>
      </x:c>
      <x:c r="F63" s="10">
        <x:f>SUM(F47:F62)</x:f>
        <x:v>44468032.399999999</x:v>
      </x:c>
      <x:c r="G63" s="11"/>
      <x:c r="H63" s="7" t="s">
        <x:v>155</x:v>
      </x:c>
      <x:c r="I63" s="8"/>
      <x:c r="J63" s="8"/>
      <x:c r="K63" s="9">
        <x:f>SUM(K47:K62)</x:f>
        <x:v>59528770</x:v>
      </x:c>
      <x:c r="L63" s="9">
        <x:f>SUM(L47:L62)</x:f>
        <x:v>5952877</x:v>
      </x:c>
      <x:c r="M63" s="10">
        <x:f>SUM(M47:M62)</x:f>
        <x:v>65481647</x:v>
      </x:c>
      <x:c r="N63" s="11"/>
      <x:c r="V63" s="1"/>
    </x:row>
    <x:row r="64" spans="1:22" s="2" customFormat="1" ht="20.100000000000001" customHeight="1">
      <x:c r="A64" s="301" t="s">
        <x:v>153</x:v>
      </x:c>
      <x:c r="B64" s="3" t="s">
        <x:v>1677</x:v>
      </x:c>
      <x:c r="C64" s="3" t="s">
        <x:v>1492</x:v>
      </x:c>
      <x:c r="D64" s="4">
        <x:f>61320000-D197</x:f>
        <x:v>57750000</x:v>
      </x:c>
      <x:c r="E64" s="4"/>
      <x:c r="F64" s="5">
        <x:f>+D64+E64</x:f>
        <x:v>57750000</x:v>
      </x:c>
      <x:c r="G64" s="6" t="s">
        <x:v>1423</x:v>
      </x:c>
      <x:c r="H64" s="301" t="s">
        <x:v>153</x:v>
      </x:c>
      <x:c r="I64" s="3" t="s">
        <x:v>1677</x:v>
      </x:c>
      <x:c r="J64" s="3" t="s">
        <x:v>1308</x:v>
      </x:c>
      <x:c r="K64" s="44">
        <x:v>55500000</x:v>
      </x:c>
      <x:c r="L64" s="44"/>
      <x:c r="M64" s="45">
        <x:f>+K64+L64</x:f>
        <x:v>55500000</x:v>
      </x:c>
      <x:c r="N64" s="37"/>
      <x:c r="V64" s="1"/>
    </x:row>
    <x:row r="65" spans="1:22" s="2" customFormat="1" ht="20.100000000000001" customHeight="1">
      <x:c r="A65" s="299"/>
      <x:c r="B65" s="3"/>
      <x:c r="C65" s="3"/>
      <x:c r="D65" s="4"/>
      <x:c r="E65" s="4"/>
      <x:c r="F65" s="5">
        <x:f>+D65+E65</x:f>
        <x:v>0</x:v>
      </x:c>
      <x:c r="G65" s="6"/>
      <x:c r="H65" s="299"/>
      <x:c r="I65" s="3"/>
      <x:c r="J65" s="3"/>
      <x:c r="K65" s="44"/>
      <x:c r="L65" s="44">
        <x:f>+K65*0.1</x:f>
        <x:v>0</x:v>
      </x:c>
      <x:c r="M65" s="45">
        <x:f>+K65+L65</x:f>
        <x:v>0</x:v>
      </x:c>
      <x:c r="N65" s="37"/>
      <x:c r="V65" s="1"/>
    </x:row>
    <x:row r="66" spans="1:22" s="2" customFormat="1" ht="20.100000000000001" customHeight="1">
      <x:c r="A66" s="299"/>
      <x:c r="B66" s="3"/>
      <x:c r="C66" s="3"/>
      <x:c r="D66" s="4"/>
      <x:c r="E66" s="4">
        <x:f>+D66*0.1</x:f>
        <x:v>0</x:v>
      </x:c>
      <x:c r="F66" s="5">
        <x:f>+D66+E66</x:f>
        <x:v>0</x:v>
      </x:c>
      <x:c r="G66" s="6"/>
      <x:c r="H66" s="299"/>
      <x:c r="I66" s="3"/>
      <x:c r="J66" s="3"/>
      <x:c r="K66" s="4"/>
      <x:c r="L66" s="4">
        <x:f>+K66*0.1</x:f>
        <x:v>0</x:v>
      </x:c>
      <x:c r="M66" s="5">
        <x:f>+K66+L66</x:f>
        <x:v>0</x:v>
      </x:c>
      <x:c r="N66" s="6"/>
      <x:c r="V66" s="1"/>
    </x:row>
    <x:row r="67" spans="1:22" s="2" customFormat="1" ht="20.100000000000001" customHeight="1">
      <x:c r="A67" s="300"/>
      <x:c r="B67" s="3"/>
      <x:c r="C67" s="3"/>
      <x:c r="D67" s="4"/>
      <x:c r="E67" s="4">
        <x:f>+D67*0.1</x:f>
        <x:v>0</x:v>
      </x:c>
      <x:c r="F67" s="5">
        <x:f>+D67+E67</x:f>
        <x:v>0</x:v>
      </x:c>
      <x:c r="G67" s="6"/>
      <x:c r="H67" s="300"/>
      <x:c r="I67" s="3"/>
      <x:c r="J67" s="3"/>
      <x:c r="K67" s="4"/>
      <x:c r="L67" s="4">
        <x:f>+K67*0.1</x:f>
        <x:v>0</x:v>
      </x:c>
      <x:c r="M67" s="5">
        <x:f>+K67+L67</x:f>
        <x:v>0</x:v>
      </x:c>
      <x:c r="N67" s="6"/>
      <x:c r="V67" s="1"/>
    </x:row>
    <x:row r="68" spans="1:22" s="2" customFormat="1" ht="20.100000000000001" customHeight="1">
      <x:c r="A68" s="7"/>
      <x:c r="B68" s="8"/>
      <x:c r="C68" s="8"/>
      <x:c r="D68" s="9">
        <x:f>SUM(D64:D67)</x:f>
        <x:v>57750000</x:v>
      </x:c>
      <x:c r="E68" s="9">
        <x:f>SUM(E64:E67)</x:f>
        <x:v>0</x:v>
      </x:c>
      <x:c r="F68" s="10">
        <x:f>SUM(F64:F67)</x:f>
        <x:v>57750000</x:v>
      </x:c>
      <x:c r="G68" s="11"/>
      <x:c r="H68" s="7" t="s">
        <x:v>155</x:v>
      </x:c>
      <x:c r="I68" s="8"/>
      <x:c r="J68" s="8"/>
      <x:c r="K68" s="9">
        <x:f>SUM(K64:K67)</x:f>
        <x:v>55500000</x:v>
      </x:c>
      <x:c r="L68" s="9">
        <x:f>SUM(L64:L67)</x:f>
        <x:v>0</x:v>
      </x:c>
      <x:c r="M68" s="10">
        <x:f>SUM(M64:M67)</x:f>
        <x:v>55500000</x:v>
      </x:c>
      <x:c r="N68" s="11"/>
      <x:c r="V68" s="1"/>
    </x:row>
    <x:row r="69" spans="1:22" s="2" customFormat="1" ht="20.100000000000001" customHeight="1">
      <x:c r="A69" s="301" t="s">
        <x:v>187</x:v>
      </x:c>
      <x:c r="B69" s="3" t="s">
        <x:v>1124</x:v>
      </x:c>
      <x:c r="C69" s="3" t="s">
        <x:v>1006</x:v>
      </x:c>
      <x:c r="D69" s="4">
        <x:v>2000000</x:v>
      </x:c>
      <x:c r="E69" s="4">
        <x:f>+D69*0.1</x:f>
        <x:v>200000</x:v>
      </x:c>
      <x:c r="F69" s="5">
        <x:f>+D69+E69</x:f>
        <x:v>2200000</x:v>
      </x:c>
      <x:c r="G69" s="6"/>
      <x:c r="H69" s="301" t="s">
        <x:v>187</x:v>
      </x:c>
      <x:c r="I69" s="3" t="s">
        <x:v>1461</x:v>
      </x:c>
      <x:c r="J69" s="3" t="s">
        <x:v>1006</x:v>
      </x:c>
      <x:c r="K69" s="4">
        <x:v>1224000</x:v>
      </x:c>
      <x:c r="L69" s="4">
        <x:f>+K69*0.1</x:f>
        <x:v>122400</x:v>
      </x:c>
      <x:c r="M69" s="5">
        <x:f>+K69+L69</x:f>
        <x:v>1346400</x:v>
      </x:c>
      <x:c r="N69" s="6" t="s">
        <x:v>277</x:v>
      </x:c>
      <x:c r="V69" s="1"/>
    </x:row>
    <x:row r="70" spans="1:22" s="2" customFormat="1" ht="20.100000000000001" customHeight="1">
      <x:c r="A70" s="299"/>
      <x:c r="B70" s="3" t="s">
        <x:v>1486</x:v>
      </x:c>
      <x:c r="C70" s="3" t="s">
        <x:v>948</x:v>
      </x:c>
      <x:c r="D70" s="4">
        <x:v>480000</x:v>
      </x:c>
      <x:c r="E70" s="4">
        <x:f>+D70*0.1</x:f>
        <x:v>48000</x:v>
      </x:c>
      <x:c r="F70" s="5">
        <x:f>+D70+E70</x:f>
        <x:v>528000</x:v>
      </x:c>
      <x:c r="G70" s="6"/>
      <x:c r="H70" s="299"/>
      <x:c r="I70" s="3" t="s">
        <x:v>524</x:v>
      </x:c>
      <x:c r="J70" s="3" t="s">
        <x:v>948</x:v>
      </x:c>
      <x:c r="K70" s="4">
        <x:v>240000</x:v>
      </x:c>
      <x:c r="L70" s="4">
        <x:f>+K70*0.1</x:f>
        <x:v>24000</x:v>
      </x:c>
      <x:c r="M70" s="5">
        <x:f>+K70+L70</x:f>
        <x:v>264000</x:v>
      </x:c>
      <x:c r="N70" s="6" t="s">
        <x:v>1546</x:v>
      </x:c>
      <x:c r="V70" s="1"/>
    </x:row>
    <x:row r="71" spans="1:22" s="2" customFormat="1" ht="20.100000000000001" customHeight="1">
      <x:c r="A71" s="299"/>
      <x:c r="B71" s="3" t="s">
        <x:v>1517</x:v>
      </x:c>
      <x:c r="C71" s="3" t="s">
        <x:v>1478</x:v>
      </x:c>
      <x:c r="D71" s="4">
        <x:v>800000</x:v>
      </x:c>
      <x:c r="E71" s="4">
        <x:f>+D71*0.1</x:f>
        <x:v>80000</x:v>
      </x:c>
      <x:c r="F71" s="5">
        <x:f>+D71+E71</x:f>
        <x:v>880000</x:v>
      </x:c>
      <x:c r="G71" s="6" t="s">
        <x:v>1423</x:v>
      </x:c>
      <x:c r="H71" s="299"/>
      <x:c r="I71" s="3"/>
      <x:c r="J71" s="3"/>
      <x:c r="K71" s="4"/>
      <x:c r="L71" s="4">
        <x:f>+K71*0.1</x:f>
        <x:v>0</x:v>
      </x:c>
      <x:c r="M71" s="5">
        <x:f>+K71+L71</x:f>
        <x:v>0</x:v>
      </x:c>
      <x:c r="N71" s="6"/>
      <x:c r="V71" s="1"/>
    </x:row>
    <x:row r="72" spans="1:22" s="2" customFormat="1" ht="20.100000000000001" customHeight="1">
      <x:c r="A72" s="300"/>
      <x:c r="B72" s="3" t="s">
        <x:v>1539</x:v>
      </x:c>
      <x:c r="C72" s="3" t="s">
        <x:v>1006</x:v>
      </x:c>
      <x:c r="D72" s="4">
        <x:v>500000</x:v>
      </x:c>
      <x:c r="E72" s="4">
        <x:f>+D72*0.1</x:f>
        <x:v>50000</x:v>
      </x:c>
      <x:c r="F72" s="5">
        <x:f>+D72+E72</x:f>
        <x:v>550000</x:v>
      </x:c>
      <x:c r="G72" s="6" t="s">
        <x:v>1423</x:v>
      </x:c>
      <x:c r="H72" s="300"/>
      <x:c r="I72" s="3"/>
      <x:c r="J72" s="3"/>
      <x:c r="K72" s="4"/>
      <x:c r="L72" s="4">
        <x:f>+K72*0.1</x:f>
        <x:v>0</x:v>
      </x:c>
      <x:c r="M72" s="5">
        <x:f>+K72+L72</x:f>
        <x:v>0</x:v>
      </x:c>
      <x:c r="N72" s="6"/>
      <x:c r="V72" s="1"/>
    </x:row>
    <x:row r="73" spans="1:22" s="2" customFormat="1" ht="20.100000000000001" customHeight="1">
      <x:c r="A73" s="7"/>
      <x:c r="B73" s="8"/>
      <x:c r="C73" s="8"/>
      <x:c r="D73" s="9">
        <x:f>SUM(D69:D72)</x:f>
        <x:v>3780000</x:v>
      </x:c>
      <x:c r="E73" s="9">
        <x:f>SUM(E69:E72)</x:f>
        <x:v>378000</x:v>
      </x:c>
      <x:c r="F73" s="10">
        <x:f>SUM(F69:F72)</x:f>
        <x:v>4158000</x:v>
      </x:c>
      <x:c r="G73" s="11"/>
      <x:c r="H73" s="7" t="s">
        <x:v>155</x:v>
      </x:c>
      <x:c r="I73" s="8"/>
      <x:c r="J73" s="8"/>
      <x:c r="K73" s="9">
        <x:f>SUM(K69:K72)</x:f>
        <x:v>1464000</x:v>
      </x:c>
      <x:c r="L73" s="9">
        <x:f>SUM(L69:L72)</x:f>
        <x:v>146400</x:v>
      </x:c>
      <x:c r="M73" s="10">
        <x:f>SUM(M69:M72)</x:f>
        <x:v>1610400</x:v>
      </x:c>
      <x:c r="N73" s="11"/>
      <x:c r="V73" s="1"/>
    </x:row>
    <x:row r="74" spans="1:22" s="2" customFormat="1" ht="20.100000000000001" customHeight="1">
      <x:c r="A74" s="301" t="s">
        <x:v>149</x:v>
      </x:c>
      <x:c r="B74" s="3" t="s">
        <x:v>294</x:v>
      </x:c>
      <x:c r="C74" s="3" t="s">
        <x:v>149</x:v>
      </x:c>
      <x:c r="D74" s="4">
        <x:v>990210</x:v>
      </x:c>
      <x:c r="E74" s="4"/>
      <x:c r="F74" s="5">
        <x:f t="shared" ref="F74:F83" si="14">+D74+E74</x:f>
        <x:v>990210</x:v>
      </x:c>
      <x:c r="G74" s="6"/>
      <x:c r="H74" s="301" t="s">
        <x:v>149</x:v>
      </x:c>
      <x:c r="I74" s="3" t="s">
        <x:v>248</x:v>
      </x:c>
      <x:c r="J74" s="3" t="s">
        <x:v>492</x:v>
      </x:c>
      <x:c r="K74" s="4">
        <x:v>287167</x:v>
      </x:c>
      <x:c r="L74" s="4"/>
      <x:c r="M74" s="5">
        <x:f>+K74+L74</x:f>
        <x:v>287167</x:v>
      </x:c>
      <x:c r="N74" s="6"/>
      <x:c r="V74" s="1"/>
    </x:row>
    <x:row r="75" spans="1:22" s="2" customFormat="1" ht="20.100000000000001" customHeight="1">
      <x:c r="A75" s="299"/>
      <x:c r="B75" s="3" t="s">
        <x:v>1680</x:v>
      </x:c>
      <x:c r="C75" s="3" t="s">
        <x:v>914</x:v>
      </x:c>
      <x:c r="D75" s="4">
        <x:v>100000</x:v>
      </x:c>
      <x:c r="E75" s="4">
        <x:f>+D75*0.1</x:f>
        <x:v>10000</x:v>
      </x:c>
      <x:c r="F75" s="5">
        <x:f t="shared" si="14"/>
        <x:v>110000</x:v>
      </x:c>
      <x:c r="G75" s="6"/>
      <x:c r="H75" s="299"/>
      <x:c r="I75" s="3" t="s">
        <x:v>284</x:v>
      </x:c>
      <x:c r="J75" s="3" t="s">
        <x:v>492</x:v>
      </x:c>
      <x:c r="K75" s="4">
        <x:f>779690+165450</x:f>
        <x:v>945140</x:v>
      </x:c>
      <x:c r="L75" s="4">
        <x:v>11200</x:v>
      </x:c>
      <x:c r="M75" s="5">
        <x:f t="shared" ref="M75:M86" si="15">+K75+L75</x:f>
        <x:v>956340</x:v>
      </x:c>
      <x:c r="N75" s="6" t="s">
        <x:v>1516</x:v>
      </x:c>
      <x:c r="V75" s="1"/>
    </x:row>
    <x:row r="76" spans="1:22" s="2" customFormat="1" ht="20.100000000000001" customHeight="1">
      <x:c r="A76" s="299"/>
      <x:c r="B76" s="3" t="s">
        <x:v>883</x:v>
      </x:c>
      <x:c r="C76" s="3" t="s">
        <x:v>1417</x:v>
      </x:c>
      <x:c r="D76" s="4">
        <x:v>200000</x:v>
      </x:c>
      <x:c r="E76" s="4">
        <x:f>+D76*0.1</x:f>
        <x:v>20000</x:v>
      </x:c>
      <x:c r="F76" s="5">
        <x:f t="shared" si="14"/>
        <x:v>220000</x:v>
      </x:c>
      <x:c r="G76" s="6" t="s">
        <x:v>250</x:v>
      </x:c>
      <x:c r="H76" s="299"/>
      <x:c r="I76" s="3" t="s">
        <x:v>249</x:v>
      </x:c>
      <x:c r="J76" s="3" t="s">
        <x:v>608</x:v>
      </x:c>
      <x:c r="K76" s="4">
        <x:v>550000</x:v>
      </x:c>
      <x:c r="L76" s="4"/>
      <x:c r="M76" s="5">
        <x:f t="shared" si="15"/>
        <x:v>550000</x:v>
      </x:c>
      <x:c r="N76" s="6"/>
      <x:c r="V76" s="1"/>
    </x:row>
    <x:row r="77" spans="1:22" s="2" customFormat="1" ht="20.100000000000001" customHeight="1">
      <x:c r="A77" s="299"/>
      <x:c r="B77" s="3" t="s">
        <x:v>247</x:v>
      </x:c>
      <x:c r="C77" s="3" t="s">
        <x:v>231</x:v>
      </x:c>
      <x:c r="D77" s="4">
        <x:v>21000</x:v>
      </x:c>
      <x:c r="E77" s="4">
        <x:f>+D77*0.1</x:f>
        <x:v>2100</x:v>
      </x:c>
      <x:c r="F77" s="5">
        <x:f t="shared" si="14"/>
        <x:v>23100</x:v>
      </x:c>
      <x:c r="G77" s="6"/>
      <x:c r="H77" s="299"/>
      <x:c r="I77" s="3" t="s">
        <x:v>262</x:v>
      </x:c>
      <x:c r="J77" s="3" t="s">
        <x:v>530</x:v>
      </x:c>
      <x:c r="K77" s="4">
        <x:v>550000</x:v>
      </x:c>
      <x:c r="L77" s="4"/>
      <x:c r="M77" s="5">
        <x:f t="shared" si="15"/>
        <x:v>550000</x:v>
      </x:c>
      <x:c r="N77" s="6"/>
      <x:c r="V77" s="1"/>
    </x:row>
    <x:row r="78" spans="1:22" s="2" customFormat="1" ht="20.100000000000001" customHeight="1">
      <x:c r="A78" s="299"/>
      <x:c r="B78" s="3" t="s">
        <x:v>1442</x:v>
      </x:c>
      <x:c r="C78" s="3" t="s">
        <x:v>167</x:v>
      </x:c>
      <x:c r="D78" s="4">
        <x:v>85000</x:v>
      </x:c>
      <x:c r="E78" s="4">
        <x:f>+D78*0.1</x:f>
        <x:v>8500</x:v>
      </x:c>
      <x:c r="F78" s="5">
        <x:f t="shared" si="14"/>
        <x:v>93500</x:v>
      </x:c>
      <x:c r="G78" s="6"/>
      <x:c r="H78" s="299"/>
      <x:c r="I78" s="3" t="s">
        <x:v>289</x:v>
      </x:c>
      <x:c r="J78" s="3" t="s">
        <x:v>608</x:v>
      </x:c>
      <x:c r="K78" s="4">
        <x:v>580000</x:v>
      </x:c>
      <x:c r="L78" s="4"/>
      <x:c r="M78" s="5">
        <x:f t="shared" si="15"/>
        <x:v>580000</x:v>
      </x:c>
      <x:c r="N78" s="6"/>
      <x:c r="V78" s="1"/>
    </x:row>
    <x:row r="79" spans="1:22" s="2" customFormat="1" ht="20.100000000000001" customHeight="1">
      <x:c r="A79" s="299"/>
      <x:c r="B79" s="3"/>
      <x:c r="C79" s="3"/>
      <x:c r="D79" s="4"/>
      <x:c r="E79" s="4">
        <x:f>+D79*0.1</x:f>
        <x:v>0</x:v>
      </x:c>
      <x:c r="F79" s="5">
        <x:f t="shared" si="14"/>
        <x:v>0</x:v>
      </x:c>
      <x:c r="G79" s="6"/>
      <x:c r="H79" s="299"/>
      <x:c r="I79" s="3" t="s">
        <x:v>947</x:v>
      </x:c>
      <x:c r="J79" s="3" t="s">
        <x:v>914</x:v>
      </x:c>
      <x:c r="K79" s="4">
        <x:v>100000</x:v>
      </x:c>
      <x:c r="L79" s="4">
        <x:f>+K79*0.1</x:f>
        <x:v>10000</x:v>
      </x:c>
      <x:c r="M79" s="5">
        <x:f t="shared" ref="M79:M85" si="16">+K79+L79</x:f>
        <x:v>110000</x:v>
      </x:c>
      <x:c r="N79" s="6"/>
      <x:c r="V79" s="1"/>
    </x:row>
    <x:row r="80" spans="1:22" s="2" customFormat="1" ht="20.100000000000001" customHeight="1">
      <x:c r="A80" s="299"/>
      <x:c r="B80" s="3"/>
      <x:c r="C80" s="3"/>
      <x:c r="D80" s="4"/>
      <x:c r="E80" s="4"/>
      <x:c r="F80" s="5">
        <x:f t="shared" si="14"/>
        <x:v>0</x:v>
      </x:c>
      <x:c r="G80" s="6"/>
      <x:c r="H80" s="299"/>
      <x:c r="I80" s="3" t="s">
        <x:v>883</x:v>
      </x:c>
      <x:c r="J80" s="3" t="s">
        <x:v>1417</x:v>
      </x:c>
      <x:c r="K80" s="4">
        <x:v>1030000</x:v>
      </x:c>
      <x:c r="L80" s="4">
        <x:f>+K80*0.1</x:f>
        <x:v>103000</x:v>
      </x:c>
      <x:c r="M80" s="5">
        <x:f t="shared" si="16"/>
        <x:v>1133000</x:v>
      </x:c>
      <x:c r="N80" s="6" t="s">
        <x:v>1489</x:v>
      </x:c>
      <x:c r="V80" s="1"/>
    </x:row>
    <x:row r="81" spans="1:22" s="2" customFormat="1" ht="20.100000000000001" customHeight="1">
      <x:c r="A81" s="299"/>
      <x:c r="B81" s="3"/>
      <x:c r="C81" s="3"/>
      <x:c r="D81" s="4"/>
      <x:c r="E81" s="4"/>
      <x:c r="F81" s="5">
        <x:f t="shared" si="14"/>
        <x:v>0</x:v>
      </x:c>
      <x:c r="G81" s="6"/>
      <x:c r="H81" s="299"/>
      <x:c r="I81" s="3" t="s">
        <x:v>1340</x:v>
      </x:c>
      <x:c r="J81" s="3" t="s">
        <x:v>28</x:v>
      </x:c>
      <x:c r="K81" s="4">
        <x:v>2161500</x:v>
      </x:c>
      <x:c r="L81" s="4">
        <x:f>+K81*0.1</x:f>
        <x:v>216150</x:v>
      </x:c>
      <x:c r="M81" s="5">
        <x:f t="shared" si="16"/>
        <x:v>2377650</x:v>
      </x:c>
      <x:c r="N81" s="6"/>
      <x:c r="V81" s="1"/>
    </x:row>
    <x:row r="82" spans="1:22" s="2" customFormat="1" ht="20.100000000000001" customHeight="1">
      <x:c r="A82" s="299"/>
      <x:c r="B82" s="3"/>
      <x:c r="C82" s="3"/>
      <x:c r="D82" s="4"/>
      <x:c r="E82" s="4"/>
      <x:c r="F82" s="5">
        <x:f t="shared" si="14"/>
        <x:v>0</x:v>
      </x:c>
      <x:c r="G82" s="6"/>
      <x:c r="H82" s="299"/>
      <x:c r="I82" s="3" t="s">
        <x:v>1513</x:v>
      </x:c>
      <x:c r="J82" s="3" t="s">
        <x:v>825</x:v>
      </x:c>
      <x:c r="K82" s="4">
        <x:v>1543000</x:v>
      </x:c>
      <x:c r="L82" s="4">
        <x:f>+K82*0.1</x:f>
        <x:v>154300</x:v>
      </x:c>
      <x:c r="M82" s="5">
        <x:f t="shared" si="16"/>
        <x:v>1697300</x:v>
      </x:c>
      <x:c r="N82" s="6" t="s">
        <x:v>1546</x:v>
      </x:c>
      <x:c r="V82" s="1"/>
    </x:row>
    <x:row r="83" spans="1:22" s="2" customFormat="1" ht="20.100000000000001" customHeight="1">
      <x:c r="A83" s="299"/>
      <x:c r="B83" s="3"/>
      <x:c r="C83" s="3"/>
      <x:c r="D83" s="4"/>
      <x:c r="E83" s="4"/>
      <x:c r="F83" s="5">
        <x:f t="shared" si="14"/>
        <x:v>0</x:v>
      </x:c>
      <x:c r="G83" s="6"/>
      <x:c r="H83" s="299"/>
      <x:c r="I83" s="3" t="s">
        <x:v>247</x:v>
      </x:c>
      <x:c r="J83" s="3" t="s">
        <x:v>231</x:v>
      </x:c>
      <x:c r="K83" s="4">
        <x:f>5564+21000</x:f>
        <x:v>26564</x:v>
      </x:c>
      <x:c r="L83" s="4">
        <x:f>+K83*0.1</x:f>
        <x:v>2656.4000000000001</x:v>
      </x:c>
      <x:c r="M83" s="5">
        <x:f t="shared" si="16"/>
        <x:v>29220.400000000001</x:v>
      </x:c>
      <x:c r="N83" s="6" t="s">
        <x:v>1451</x:v>
      </x:c>
      <x:c r="V83" s="1"/>
    </x:row>
    <x:row r="84" spans="1:22" s="2" customFormat="1" ht="20.100000000000001" customHeight="1">
      <x:c r="A84" s="299"/>
      <x:c r="B84" s="3"/>
      <x:c r="C84" s="3"/>
      <x:c r="D84" s="4"/>
      <x:c r="E84" s="4"/>
      <x:c r="F84" s="5">
        <x:f>+D84+E84</x:f>
        <x:v>0</x:v>
      </x:c>
      <x:c r="G84" s="6"/>
      <x:c r="H84" s="299"/>
      <x:c r="I84" s="3" t="s">
        <x:v>926</x:v>
      </x:c>
      <x:c r="J84" s="3" t="s">
        <x:v>404</x:v>
      </x:c>
      <x:c r="K84" s="4">
        <x:v>385340</x:v>
      </x:c>
      <x:c r="L84" s="4"/>
      <x:c r="M84" s="5">
        <x:f t="shared" si="16"/>
        <x:v>385340</x:v>
      </x:c>
      <x:c r="N84" s="6"/>
      <x:c r="V84" s="1"/>
    </x:row>
    <x:row r="85" spans="1:22" s="2" customFormat="1" ht="20.100000000000001" customHeight="1">
      <x:c r="A85" s="299"/>
      <x:c r="B85" s="3"/>
      <x:c r="C85" s="3"/>
      <x:c r="D85" s="4"/>
      <x:c r="E85" s="4"/>
      <x:c r="F85" s="5">
        <x:f>+D85+E85</x:f>
        <x:v>0</x:v>
      </x:c>
      <x:c r="G85" s="6"/>
      <x:c r="H85" s="299"/>
      <x:c r="I85" s="3" t="s">
        <x:v>1429</x:v>
      </x:c>
      <x:c r="J85" s="3" t="s">
        <x:v>167</x:v>
      </x:c>
      <x:c r="K85" s="4">
        <x:v>396000</x:v>
      </x:c>
      <x:c r="L85" s="4">
        <x:f>+K85*0.1</x:f>
        <x:v>39600</x:v>
      </x:c>
      <x:c r="M85" s="5">
        <x:f t="shared" si="16"/>
        <x:v>435600</x:v>
      </x:c>
      <x:c r="N85" s="6"/>
      <x:c r="V85" s="1"/>
    </x:row>
    <x:row r="86" spans="1:22" s="2" customFormat="1" ht="20.100000000000001" customHeight="1">
      <x:c r="A86" s="300"/>
      <x:c r="B86" s="3"/>
      <x:c r="C86" s="3"/>
      <x:c r="D86" s="4"/>
      <x:c r="E86" s="4"/>
      <x:c r="F86" s="5">
        <x:f>+D86+E86</x:f>
        <x:v>0</x:v>
      </x:c>
      <x:c r="G86" s="6"/>
      <x:c r="H86" s="300"/>
      <x:c r="I86" s="3"/>
      <x:c r="J86" s="3"/>
      <x:c r="K86" s="4"/>
      <x:c r="L86" s="4">
        <x:f>+K86*0.1</x:f>
        <x:v>0</x:v>
      </x:c>
      <x:c r="M86" s="5">
        <x:f t="shared" si="15"/>
        <x:v>0</x:v>
      </x:c>
      <x:c r="N86" s="6"/>
      <x:c r="V86" s="1"/>
    </x:row>
    <x:row r="87" spans="1:22" s="2" customFormat="1" ht="20.100000000000001" customHeight="1">
      <x:c r="A87" s="7"/>
      <x:c r="B87" s="8"/>
      <x:c r="C87" s="8"/>
      <x:c r="D87" s="9">
        <x:f>SUM(D74:D86)</x:f>
        <x:v>1396210</x:v>
      </x:c>
      <x:c r="E87" s="9">
        <x:f>SUM(E74:E86)</x:f>
        <x:v>40600</x:v>
      </x:c>
      <x:c r="F87" s="10">
        <x:f>SUM(F74:F86)</x:f>
        <x:v>1436810</x:v>
      </x:c>
      <x:c r="G87" s="11"/>
      <x:c r="H87" s="7" t="s">
        <x:v>155</x:v>
      </x:c>
      <x:c r="I87" s="8"/>
      <x:c r="J87" s="8"/>
      <x:c r="K87" s="9">
        <x:f>SUM(K74:K86)</x:f>
        <x:v>8554711</x:v>
      </x:c>
      <x:c r="L87" s="9">
        <x:f>SUM(L74:L86)</x:f>
        <x:v>536906.40000000002</x:v>
      </x:c>
      <x:c r="M87" s="10">
        <x:f>SUM(M74:M86)</x:f>
        <x:v>9091617.4000000004</x:v>
      </x:c>
      <x:c r="N87" s="11"/>
      <x:c r="V87" s="1"/>
    </x:row>
    <x:row r="88" spans="1:22" s="2" customFormat="1" ht="20.100000000000001" customHeight="1">
      <x:c r="A88" s="12" t="s">
        <x:v>1690</x:v>
      </x:c>
      <x:c r="B88" s="13"/>
      <x:c r="C88" s="13"/>
      <x:c r="D88" s="14">
        <x:f>+D63+D68+D73+D87</x:f>
        <x:v>103351694</x:v>
      </x:c>
      <x:c r="E88" s="14">
        <x:f>+E63+E68+E73+E87</x:f>
        <x:v>4461148.4000000004</x:v>
      </x:c>
      <x:c r="F88" s="15">
        <x:f>+F63+F68+F73+F87</x:f>
        <x:v>107812842.40000001</x:v>
      </x:c>
      <x:c r="G88" s="16"/>
      <x:c r="H88" s="12" t="s">
        <x:v>1690</x:v>
      </x:c>
      <x:c r="I88" s="13"/>
      <x:c r="J88" s="13"/>
      <x:c r="K88" s="14">
        <x:f>+K63+K68+K73+K87</x:f>
        <x:v>125047481</x:v>
      </x:c>
      <x:c r="L88" s="14">
        <x:f>+L63+L68+L73+L87</x:f>
        <x:v>6636183.4000000004</x:v>
      </x:c>
      <x:c r="M88" s="15">
        <x:f>+M63+M68+M73+M87</x:f>
        <x:v>131683664.40000001</x:v>
      </x:c>
      <x:c r="N88" s="16"/>
      <x:c r="V88" s="1"/>
    </x:row>
    <x:row r="89" spans="1:22" s="2" customFormat="1" ht="20.100000000000001" customHeight="1">
      <x:c r="A89" s="23" t="s">
        <x:v>35</x:v>
      </x:c>
      <x:c r="B89" s="24"/>
      <x:c r="C89" s="24"/>
      <x:c r="D89" s="25">
        <x:f>+D46-D88</x:f>
        <x:v>-23351694</x:v>
      </x:c>
      <x:c r="E89" s="25">
        <x:f>+E46-E88</x:f>
        <x:v>3538851.5999999996</x:v>
      </x:c>
      <x:c r="F89" s="26">
        <x:f>+F46-F88</x:f>
        <x:v>-19812842.400000006</x:v>
      </x:c>
      <x:c r="G89" s="27"/>
      <x:c r="H89" s="23" t="s">
        <x:v>35</x:v>
      </x:c>
      <x:c r="I89" s="24"/>
      <x:c r="J89" s="24"/>
      <x:c r="K89" s="25">
        <x:f>+K46-K88</x:f>
        <x:v>-39347481</x:v>
      </x:c>
      <x:c r="L89" s="25">
        <x:f>+L46-L88</x:f>
        <x:v>1933816.5999999996</x:v>
      </x:c>
      <x:c r="M89" s="26">
        <x:f>+M46-M88</x:f>
        <x:v>-37413664.400000006</x:v>
      </x:c>
      <x:c r="N89" s="27"/>
      <x:c r="V89" s="1"/>
    </x:row>
    <x:row r="90" spans="1:22" s="2" customFormat="1" ht="20.100000000000001" customHeight="1">
      <x:c r="A90" s="302" t="s">
        <x:v>415</x:v>
      </x:c>
      <x:c r="B90" s="303"/>
      <x:c r="C90" s="303"/>
      <x:c r="D90" s="303"/>
      <x:c r="E90" s="303"/>
      <x:c r="F90" s="304"/>
      <x:c r="G90" s="305"/>
      <x:c r="H90" s="302" t="s">
        <x:v>466</x:v>
      </x:c>
      <x:c r="I90" s="303"/>
      <x:c r="J90" s="303"/>
      <x:c r="K90" s="303"/>
      <x:c r="L90" s="303"/>
      <x:c r="M90" s="304"/>
      <x:c r="N90" s="305"/>
      <x:c r="V90" s="1"/>
    </x:row>
    <x:row r="91" spans="1:22" s="2" customFormat="1" ht="20.100000000000001" customHeight="1">
      <x:c r="A91" s="29" t="s">
        <x:v>147</x:v>
      </x:c>
      <x:c r="B91" s="220" t="s">
        <x:v>144</x:v>
      </x:c>
      <x:c r="C91" s="220" t="s">
        <x:v>150</x:v>
      </x:c>
      <x:c r="D91" s="31" t="s">
        <x:v>145</x:v>
      </x:c>
      <x:c r="E91" s="31" t="s">
        <x:v>152</x:v>
      </x:c>
      <x:c r="F91" s="31" t="s">
        <x:v>146</x:v>
      </x:c>
      <x:c r="G91" s="34" t="s">
        <x:v>154</x:v>
      </x:c>
      <x:c r="H91" s="29" t="s">
        <x:v>147</x:v>
      </x:c>
      <x:c r="I91" s="220" t="s">
        <x:v>144</x:v>
      </x:c>
      <x:c r="J91" s="220" t="s">
        <x:v>150</x:v>
      </x:c>
      <x:c r="K91" s="31" t="s">
        <x:v>145</x:v>
      </x:c>
      <x:c r="L91" s="31" t="s">
        <x:v>152</x:v>
      </x:c>
      <x:c r="M91" s="32" t="s">
        <x:v>146</x:v>
      </x:c>
      <x:c r="N91" s="33" t="s">
        <x:v>154</x:v>
      </x:c>
      <x:c r="V91" s="1"/>
    </x:row>
    <x:row r="92" spans="1:22" s="2" customFormat="1" ht="20.100000000000001" customHeight="1">
      <x:c r="A92" s="41" t="s">
        <x:v>151</x:v>
      </x:c>
      <x:c r="B92" s="38" t="s">
        <x:v>1679</x:v>
      </x:c>
      <x:c r="C92" s="38" t="s">
        <x:v>791</x:v>
      </x:c>
      <x:c r="D92" s="39">
        <x:v>122000000</x:v>
      </x:c>
      <x:c r="E92" s="39">
        <x:f>+D92*0.1</x:f>
        <x:v>12200000</x:v>
      </x:c>
      <x:c r="F92" s="40">
        <x:f>+D92+E92</x:f>
        <x:v>134200000</x:v>
      </x:c>
      <x:c r="G92" s="42"/>
      <x:c r="H92" s="219" t="s">
        <x:v>151</x:v>
      </x:c>
      <x:c r="I92" s="38" t="s">
        <x:v>1679</x:v>
      </x:c>
      <x:c r="J92" s="38" t="s">
        <x:v>791</x:v>
      </x:c>
      <x:c r="K92" s="39">
        <x:f>88000000+K103+K111</x:f>
        <x:v>101127200</x:v>
      </x:c>
      <x:c r="L92" s="39">
        <x:f>8800000+L103</x:f>
        <x:v>9330720</x:v>
      </x:c>
      <x:c r="M92" s="40">
        <x:f t="shared" ref="M92:M107" si="17">+K92+L92</x:f>
        <x:v>110457920</x:v>
      </x:c>
      <x:c r="N92" s="18" t="s">
        <x:v>1473</x:v>
      </x:c>
      <x:c r="V92" s="1"/>
    </x:row>
    <x:row r="93" spans="1:22" s="2" customFormat="1" ht="20.100000000000001" customHeight="1">
      <x:c r="A93" s="298" t="s">
        <x:v>148</x:v>
      </x:c>
      <x:c r="B93" s="19" t="s">
        <x:v>867</x:v>
      </x:c>
      <x:c r="C93" s="54" t="s">
        <x:v>399</x:v>
      </x:c>
      <x:c r="D93" s="20">
        <x:v>75302493</x:v>
      </x:c>
      <x:c r="E93" s="20">
        <x:f t="shared" ref="E93:E101" si="18">+INT(D93*0.1)</x:f>
        <x:v>7530249</x:v>
      </x:c>
      <x:c r="F93" s="21">
        <x:f t="shared" ref="F93:F99" si="19">+D93+E93</x:f>
        <x:v>82832742</x:v>
      </x:c>
      <x:c r="G93" s="22"/>
      <x:c r="H93" s="298" t="s">
        <x:v>148</x:v>
      </x:c>
      <x:c r="I93" s="54" t="s">
        <x:v>867</x:v>
      </x:c>
      <x:c r="J93" s="54"/>
      <x:c r="K93" s="93"/>
      <x:c r="L93" s="93">
        <x:f t="shared" ref="L93:L101" si="20">+INT(K93*0.1)</x:f>
        <x:v>0</x:v>
      </x:c>
      <x:c r="M93" s="94">
        <x:f t="shared" si="17"/>
        <x:v>0</x:v>
      </x:c>
      <x:c r="N93" s="95"/>
      <x:c r="V93" s="1"/>
    </x:row>
    <x:row r="94" spans="1:22" s="2" customFormat="1" ht="20.100000000000001" customHeight="1">
      <x:c r="A94" s="299"/>
      <x:c r="B94" s="3" t="s">
        <x:v>1315</x:v>
      </x:c>
      <x:c r="C94" s="3" t="s">
        <x:v>1711</x:v>
      </x:c>
      <x:c r="D94" s="4">
        <x:v>1124600</x:v>
      </x:c>
      <x:c r="E94" s="4">
        <x:f>+D94*0.1</x:f>
        <x:v>112460</x:v>
      </x:c>
      <x:c r="F94" s="5">
        <x:f t="shared" si="19"/>
        <x:v>1237060</x:v>
      </x:c>
      <x:c r="G94" s="6"/>
      <x:c r="H94" s="299"/>
      <x:c r="I94" s="162" t="s">
        <x:v>1348</x:v>
      </x:c>
      <x:c r="J94" s="162"/>
      <x:c r="K94" s="163"/>
      <x:c r="L94" s="163">
        <x:f t="shared" si="20"/>
        <x:v>0</x:v>
      </x:c>
      <x:c r="M94" s="164">
        <x:f t="shared" si="17"/>
        <x:v>0</x:v>
      </x:c>
      <x:c r="N94" s="158"/>
      <x:c r="V94" s="1"/>
    </x:row>
    <x:row r="95" spans="1:22" s="2" customFormat="1" ht="20.100000000000001" customHeight="1">
      <x:c r="A95" s="299"/>
      <x:c r="B95" s="3" t="s">
        <x:v>846</x:v>
      </x:c>
      <x:c r="C95" s="3" t="s">
        <x:v>535</x:v>
      </x:c>
      <x:c r="D95" s="4">
        <x:v>2152955</x:v>
      </x:c>
      <x:c r="E95" s="4">
        <x:f t="shared" si="18"/>
        <x:v>215295</x:v>
      </x:c>
      <x:c r="F95" s="5">
        <x:f t="shared" si="19"/>
        <x:v>2368250</x:v>
      </x:c>
      <x:c r="G95" s="6"/>
      <x:c r="H95" s="299"/>
      <x:c r="I95" s="3" t="s">
        <x:v>902</x:v>
      </x:c>
      <x:c r="J95" s="3"/>
      <x:c r="K95" s="4"/>
      <x:c r="L95" s="4">
        <x:f t="shared" si="20"/>
        <x:v>0</x:v>
      </x:c>
      <x:c r="M95" s="5">
        <x:f t="shared" si="17"/>
        <x:v>0</x:v>
      </x:c>
      <x:c r="N95" s="6"/>
      <x:c r="V95" s="1"/>
    </x:row>
    <x:row r="96" spans="1:22" s="2" customFormat="1" ht="20.100000000000001" customHeight="1">
      <x:c r="A96" s="299"/>
      <x:c r="B96" s="3" t="s">
        <x:v>938</x:v>
      </x:c>
      <x:c r="C96" s="3" t="s">
        <x:v>953</x:v>
      </x:c>
      <x:c r="D96" s="4">
        <x:v>3326000</x:v>
      </x:c>
      <x:c r="E96" s="4">
        <x:f t="shared" si="18"/>
        <x:v>332600</x:v>
      </x:c>
      <x:c r="F96" s="5">
        <x:f t="shared" si="19"/>
        <x:v>3658600</x:v>
      </x:c>
      <x:c r="G96" s="6"/>
      <x:c r="H96" s="299"/>
      <x:c r="I96" s="3" t="s">
        <x:v>938</x:v>
      </x:c>
      <x:c r="J96" s="3"/>
      <x:c r="K96" s="4"/>
      <x:c r="L96" s="4">
        <x:f t="shared" si="20"/>
        <x:v>0</x:v>
      </x:c>
      <x:c r="M96" s="5">
        <x:f t="shared" si="17"/>
        <x:v>0</x:v>
      </x:c>
      <x:c r="N96" s="6"/>
      <x:c r="V96" s="1"/>
    </x:row>
    <x:row r="97" spans="1:22" s="2" customFormat="1" ht="20.100000000000001" customHeight="1">
      <x:c r="A97" s="299"/>
      <x:c r="B97" s="3" t="s">
        <x:v>838</x:v>
      </x:c>
      <x:c r="C97" s="3" t="s">
        <x:v>1055</x:v>
      </x:c>
      <x:c r="D97" s="4">
        <x:v>307000</x:v>
      </x:c>
      <x:c r="E97" s="4">
        <x:f t="shared" si="18"/>
        <x:v>30700</x:v>
      </x:c>
      <x:c r="F97" s="5">
        <x:f t="shared" si="19"/>
        <x:v>337700</x:v>
      </x:c>
      <x:c r="G97" s="6"/>
      <x:c r="H97" s="299"/>
      <x:c r="I97" s="3" t="s">
        <x:v>976</x:v>
      </x:c>
      <x:c r="J97" s="3"/>
      <x:c r="K97" s="4"/>
      <x:c r="L97" s="4">
        <x:f t="shared" si="20"/>
        <x:v>0</x:v>
      </x:c>
      <x:c r="M97" s="5">
        <x:f t="shared" si="17"/>
        <x:v>0</x:v>
      </x:c>
      <x:c r="N97" s="6"/>
      <x:c r="V97" s="1"/>
    </x:row>
    <x:row r="98" spans="1:22" s="2" customFormat="1" ht="20.100000000000001" customHeight="1">
      <x:c r="A98" s="299"/>
      <x:c r="B98" s="3" t="s">
        <x:v>1378</x:v>
      </x:c>
      <x:c r="C98" s="3" t="s">
        <x:v>1392</x:v>
      </x:c>
      <x:c r="D98" s="4">
        <x:v>1528140</x:v>
      </x:c>
      <x:c r="E98" s="4">
        <x:f>+INT(D98*0.1)</x:f>
        <x:v>152814</x:v>
      </x:c>
      <x:c r="F98" s="5">
        <x:f t="shared" si="19"/>
        <x:v>1680954</x:v>
      </x:c>
      <x:c r="G98" s="6"/>
      <x:c r="H98" s="299"/>
      <x:c r="I98" s="3" t="s">
        <x:v>483</x:v>
      </x:c>
      <x:c r="J98" s="3"/>
      <x:c r="K98" s="4"/>
      <x:c r="L98" s="4">
        <x:f t="shared" si="20"/>
        <x:v>0</x:v>
      </x:c>
      <x:c r="M98" s="5">
        <x:f t="shared" si="17"/>
        <x:v>0</x:v>
      </x:c>
      <x:c r="N98" s="6"/>
      <x:c r="V98" s="1"/>
    </x:row>
    <x:row r="99" spans="1:22" s="2" customFormat="1" ht="20.100000000000001" customHeight="1">
      <x:c r="A99" s="299"/>
      <x:c r="B99" s="3" t="s">
        <x:v>1058</x:v>
      </x:c>
      <x:c r="C99" s="3" t="s">
        <x:v>459</x:v>
      </x:c>
      <x:c r="D99" s="4">
        <x:v>7499950</x:v>
      </x:c>
      <x:c r="E99" s="4">
        <x:f t="shared" si="18"/>
        <x:v>749995</x:v>
      </x:c>
      <x:c r="F99" s="5">
        <x:f t="shared" si="19"/>
        <x:v>8249945</x:v>
      </x:c>
      <x:c r="G99" s="6"/>
      <x:c r="H99" s="299"/>
      <x:c r="I99" s="3" t="s">
        <x:v>1378</x:v>
      </x:c>
      <x:c r="J99" s="3" t="s">
        <x:v>1530</x:v>
      </x:c>
      <x:c r="K99" s="4">
        <x:v>759700</x:v>
      </x:c>
      <x:c r="L99" s="4">
        <x:f t="shared" si="20"/>
        <x:v>75970</x:v>
      </x:c>
      <x:c r="M99" s="5">
        <x:f t="shared" si="17"/>
        <x:v>835670</x:v>
      </x:c>
      <x:c r="N99" s="6"/>
      <x:c r="V99" s="1"/>
    </x:row>
    <x:row r="100" spans="1:22" s="2" customFormat="1" ht="20.100000000000001" customHeight="1">
      <x:c r="A100" s="299"/>
      <x:c r="B100" s="3" t="s">
        <x:v>1348</x:v>
      </x:c>
      <x:c r="C100" s="3" t="s">
        <x:v>1508</x:v>
      </x:c>
      <x:c r="D100" s="4">
        <x:v>325778</x:v>
      </x:c>
      <x:c r="E100" s="4">
        <x:f t="shared" si="18"/>
        <x:v>32577</x:v>
      </x:c>
      <x:c r="F100" s="5">
        <x:f>+D100+E100</x:f>
        <x:v>358355</x:v>
      </x:c>
      <x:c r="G100" s="6"/>
      <x:c r="H100" s="299"/>
      <x:c r="I100" s="3" t="s">
        <x:v>1058</x:v>
      </x:c>
      <x:c r="J100" s="3"/>
      <x:c r="K100" s="4"/>
      <x:c r="L100" s="4">
        <x:f t="shared" si="20"/>
        <x:v>0</x:v>
      </x:c>
      <x:c r="M100" s="5">
        <x:f t="shared" si="17"/>
        <x:v>0</x:v>
      </x:c>
      <x:c r="N100" s="6"/>
      <x:c r="V100" s="1"/>
    </x:row>
    <x:row r="101" spans="1:22" s="2" customFormat="1" ht="20.100000000000001" customHeight="1">
      <x:c r="A101" s="299"/>
      <x:c r="B101" s="3" t="s">
        <x:v>546</x:v>
      </x:c>
      <x:c r="C101" s="3" t="s">
        <x:v>244</x:v>
      </x:c>
      <x:c r="D101" s="4">
        <x:v>20500000</x:v>
      </x:c>
      <x:c r="E101" s="4">
        <x:f t="shared" si="18"/>
        <x:v>2050000</x:v>
      </x:c>
      <x:c r="F101" s="5">
        <x:f t="shared" ref="F101:F108" si="21">+D101+E101</x:f>
        <x:v>22550000</x:v>
      </x:c>
      <x:c r="G101" s="6"/>
      <x:c r="H101" s="299"/>
      <x:c r="I101" s="3" t="s">
        <x:v>1119</x:v>
      </x:c>
      <x:c r="J101" s="3" t="s">
        <x:v>541</x:v>
      </x:c>
      <x:c r="K101" s="4">
        <x:v>22200</x:v>
      </x:c>
      <x:c r="L101" s="4">
        <x:f t="shared" si="20"/>
        <x:v>2220</x:v>
      </x:c>
      <x:c r="M101" s="5">
        <x:f t="shared" si="17"/>
        <x:v>24420</x:v>
      </x:c>
      <x:c r="N101" s="6"/>
      <x:c r="V101" s="1"/>
    </x:row>
    <x:row r="102" spans="1:22" s="2" customFormat="1" ht="20.100000000000001" customHeight="1">
      <x:c r="A102" s="299"/>
      <x:c r="B102" s="3" t="s">
        <x:v>228</x:v>
      </x:c>
      <x:c r="C102" s="3" t="s">
        <x:v>1499</x:v>
      </x:c>
      <x:c r="D102" s="4">
        <x:v>5015200</x:v>
      </x:c>
      <x:c r="E102" s="4">
        <x:f t="shared" ref="E102:E108" si="22">+D102*0.1</x:f>
        <x:v>501520</x:v>
      </x:c>
      <x:c r="F102" s="5">
        <x:f t="shared" si="21"/>
        <x:v>5516720</x:v>
      </x:c>
      <x:c r="G102" s="6"/>
      <x:c r="H102" s="299"/>
      <x:c r="I102" s="3" t="s">
        <x:v>846</x:v>
      </x:c>
      <x:c r="J102" s="3" t="s">
        <x:v>534</x:v>
      </x:c>
      <x:c r="K102" s="4">
        <x:v>261600</x:v>
      </x:c>
      <x:c r="L102" s="4">
        <x:f>+INT(K102*0.1)</x:f>
        <x:v>26160</x:v>
      </x:c>
      <x:c r="M102" s="5">
        <x:f t="shared" si="17"/>
        <x:v>287760</x:v>
      </x:c>
      <x:c r="N102" s="6"/>
      <x:c r="V102" s="1"/>
    </x:row>
    <x:row r="103" spans="1:22" s="2" customFormat="1" ht="20.100000000000001" customHeight="1">
      <x:c r="A103" s="299"/>
      <x:c r="B103" s="3" t="s">
        <x:v>1039</x:v>
      </x:c>
      <x:c r="C103" s="3"/>
      <x:c r="D103" s="4"/>
      <x:c r="E103" s="4">
        <x:f t="shared" si="22"/>
        <x:v>0</x:v>
      </x:c>
      <x:c r="F103" s="5">
        <x:f t="shared" si="21"/>
        <x:v>0</x:v>
      </x:c>
      <x:c r="G103" s="6"/>
      <x:c r="H103" s="299"/>
      <x:c r="I103" s="3" t="s">
        <x:v>867</x:v>
      </x:c>
      <x:c r="J103" s="3"/>
      <x:c r="K103" s="4">
        <x:v>5307200</x:v>
      </x:c>
      <x:c r="L103" s="4">
        <x:f>+INT(K103*0.1)</x:f>
        <x:v>530720</x:v>
      </x:c>
      <x:c r="M103" s="5">
        <x:f t="shared" si="17"/>
        <x:v>5837920</x:v>
      </x:c>
      <x:c r="N103" s="37" t="s">
        <x:v>532</x:v>
      </x:c>
      <x:c r="V103" s="1"/>
    </x:row>
    <x:row r="104" spans="1:22" s="2" customFormat="1" ht="20.100000000000001" customHeight="1">
      <x:c r="A104" s="299"/>
      <x:c r="B104" s="3" t="s">
        <x:v>1515</x:v>
      </x:c>
      <x:c r="C104" s="3" t="s">
        <x:v>1523</x:v>
      </x:c>
      <x:c r="D104" s="4">
        <x:v>350000</x:v>
      </x:c>
      <x:c r="E104" s="4">
        <x:f t="shared" si="22"/>
        <x:v>35000</x:v>
      </x:c>
      <x:c r="F104" s="5">
        <x:f t="shared" si="21"/>
        <x:v>385000</x:v>
      </x:c>
      <x:c r="G104" s="6"/>
      <x:c r="H104" s="299"/>
      <x:c r="I104" s="3" t="s">
        <x:v>762</x:v>
      </x:c>
      <x:c r="J104" s="3" t="s">
        <x:v>1219</x:v>
      </x:c>
      <x:c r="K104" s="4">
        <x:v>54625900</x:v>
      </x:c>
      <x:c r="L104" s="4">
        <x:f>+INT(K104*0.1)</x:f>
        <x:v>5462590</x:v>
      </x:c>
      <x:c r="M104" s="5">
        <x:f t="shared" si="17"/>
        <x:v>60088490</x:v>
      </x:c>
      <x:c r="N104" s="6"/>
      <x:c r="V104" s="1"/>
    </x:row>
    <x:row r="105" spans="1:22" s="2" customFormat="1" ht="20.100000000000001" customHeight="1">
      <x:c r="A105" s="299"/>
      <x:c r="B105" s="3" t="s">
        <x:v>483</x:v>
      </x:c>
      <x:c r="C105" s="3" t="s">
        <x:v>544</x:v>
      </x:c>
      <x:c r="D105" s="4">
        <x:v>4163000</x:v>
      </x:c>
      <x:c r="E105" s="4">
        <x:f t="shared" si="22"/>
        <x:v>416300</x:v>
      </x:c>
      <x:c r="F105" s="5">
        <x:f t="shared" si="21"/>
        <x:v>4579300</x:v>
      </x:c>
      <x:c r="G105" s="6"/>
      <x:c r="H105" s="299"/>
      <x:c r="I105" s="3"/>
      <x:c r="J105" s="3"/>
      <x:c r="K105" s="4"/>
      <x:c r="L105" s="4"/>
      <x:c r="M105" s="5">
        <x:f t="shared" si="17"/>
        <x:v>0</x:v>
      </x:c>
      <x:c r="N105" s="6"/>
      <x:c r="V105" s="1"/>
    </x:row>
    <x:row r="106" spans="1:22" s="2" customFormat="1" ht="20.100000000000001" customHeight="1">
      <x:c r="A106" s="299"/>
      <x:c r="B106" s="3" t="s">
        <x:v>515</x:v>
      </x:c>
      <x:c r="C106" s="3" t="s">
        <x:v>1234</x:v>
      </x:c>
      <x:c r="D106" s="4">
        <x:v>3332400</x:v>
      </x:c>
      <x:c r="E106" s="4">
        <x:f t="shared" si="22"/>
        <x:v>333240</x:v>
      </x:c>
      <x:c r="F106" s="5">
        <x:f t="shared" si="21"/>
        <x:v>3665640</x:v>
      </x:c>
      <x:c r="G106" s="6" t="s">
        <x:v>1537</x:v>
      </x:c>
      <x:c r="H106" s="299"/>
      <x:c r="I106" s="3"/>
      <x:c r="J106" s="3"/>
      <x:c r="K106" s="4"/>
      <x:c r="L106" s="4"/>
      <x:c r="M106" s="5">
        <x:f t="shared" si="17"/>
        <x:v>0</x:v>
      </x:c>
      <x:c r="N106" s="6"/>
      <x:c r="V106" s="1"/>
    </x:row>
    <x:row r="107" spans="1:22" s="2" customFormat="1" ht="20.100000000000001" customHeight="1">
      <x:c r="A107" s="299"/>
      <x:c r="B107" s="3" t="s">
        <x:v>1070</x:v>
      </x:c>
      <x:c r="C107" s="3" t="s">
        <x:v>1500</x:v>
      </x:c>
      <x:c r="D107" s="4">
        <x:v>710000</x:v>
      </x:c>
      <x:c r="E107" s="4">
        <x:f t="shared" si="22"/>
        <x:v>71000</x:v>
      </x:c>
      <x:c r="F107" s="5">
        <x:f t="shared" si="21"/>
        <x:v>781000</x:v>
      </x:c>
      <x:c r="G107" s="6"/>
      <x:c r="H107" s="299"/>
      <x:c r="I107" s="3"/>
      <x:c r="J107" s="3"/>
      <x:c r="K107" s="4"/>
      <x:c r="L107" s="4"/>
      <x:c r="M107" s="5">
        <x:f t="shared" si="17"/>
        <x:v>0</x:v>
      </x:c>
      <x:c r="N107" s="6"/>
      <x:c r="V107" s="1"/>
    </x:row>
    <x:row r="108" spans="1:22" s="2" customFormat="1" ht="20.100000000000001" customHeight="1">
      <x:c r="A108" s="299"/>
      <x:c r="B108" s="3" t="s">
        <x:v>774</x:v>
      </x:c>
      <x:c r="C108" s="3" t="s">
        <x:v>1233</x:v>
      </x:c>
      <x:c r="D108" s="4">
        <x:v>2100000</x:v>
      </x:c>
      <x:c r="E108" s="4">
        <x:f t="shared" si="22"/>
        <x:v>210000</x:v>
      </x:c>
      <x:c r="F108" s="5">
        <x:f t="shared" si="21"/>
        <x:v>2310000</x:v>
      </x:c>
      <x:c r="G108" s="6"/>
      <x:c r="H108" s="300"/>
      <x:c r="I108" s="3"/>
      <x:c r="J108" s="3"/>
      <x:c r="K108" s="4"/>
      <x:c r="L108" s="4"/>
      <x:c r="M108" s="5"/>
      <x:c r="N108" s="6"/>
      <x:c r="V108" s="1"/>
    </x:row>
    <x:row r="109" spans="1:22" s="2" customFormat="1" ht="20.100000000000001" customHeight="1">
      <x:c r="A109" s="7"/>
      <x:c r="B109" s="8"/>
      <x:c r="C109" s="8"/>
      <x:c r="D109" s="9">
        <x:f>SUM(D93:D108)</x:f>
        <x:v>127737516</x:v>
      </x:c>
      <x:c r="E109" s="9">
        <x:f>SUM(E93:E108)</x:f>
        <x:v>12773750</x:v>
      </x:c>
      <x:c r="F109" s="10">
        <x:f>SUM(F93:F108)</x:f>
        <x:v>140511266</x:v>
      </x:c>
      <x:c r="G109" s="11"/>
      <x:c r="H109" s="7" t="s">
        <x:v>155</x:v>
      </x:c>
      <x:c r="I109" s="8"/>
      <x:c r="J109" s="8"/>
      <x:c r="K109" s="9">
        <x:f>SUM(K93:K108)</x:f>
        <x:v>60976600</x:v>
      </x:c>
      <x:c r="L109" s="9">
        <x:f>SUM(L93:L108)</x:f>
        <x:v>6097660</x:v>
      </x:c>
      <x:c r="M109" s="10">
        <x:f>SUM(M93:M108)</x:f>
        <x:v>67074260</x:v>
      </x:c>
      <x:c r="N109" s="11"/>
      <x:c r="V109" s="1"/>
    </x:row>
    <x:row r="110" spans="1:22" s="2" customFormat="1" ht="20.100000000000001" customHeight="1">
      <x:c r="A110" s="301" t="s">
        <x:v>153</x:v>
      </x:c>
      <x:c r="B110" s="3" t="s">
        <x:v>1677</x:v>
      </x:c>
      <x:c r="C110" s="3" t="s">
        <x:v>1096</x:v>
      </x:c>
      <x:c r="D110" s="4">
        <x:v>18620000</x:v>
      </x:c>
      <x:c r="E110" s="4"/>
      <x:c r="F110" s="5">
        <x:f>+D110+E110</x:f>
        <x:v>18620000</x:v>
      </x:c>
      <x:c r="G110" s="6"/>
      <x:c r="H110" s="301" t="s">
        <x:v>153</x:v>
      </x:c>
      <x:c r="I110" s="3" t="s">
        <x:v>1677</x:v>
      </x:c>
      <x:c r="J110" s="3" t="s">
        <x:v>1528</x:v>
      </x:c>
      <x:c r="K110" s="4">
        <x:v>6640000</x:v>
      </x:c>
      <x:c r="L110" s="44"/>
      <x:c r="M110" s="45">
        <x:f>+K110+L110</x:f>
        <x:v>6640000</x:v>
      </x:c>
      <x:c r="N110" s="37"/>
      <x:c r="V110" s="1"/>
    </x:row>
    <x:row r="111" spans="1:22" s="2" customFormat="1" ht="20.100000000000001" customHeight="1">
      <x:c r="A111" s="299"/>
      <x:c r="B111" s="3" t="s">
        <x:v>1241</x:v>
      </x:c>
      <x:c r="C111" s="3" t="s">
        <x:v>523</x:v>
      </x:c>
      <x:c r="D111" s="4">
        <x:v>13675000</x:v>
      </x:c>
      <x:c r="E111" s="4">
        <x:v>417500</x:v>
      </x:c>
      <x:c r="F111" s="5">
        <x:f>+D111+E111</x:f>
        <x:v>14092500</x:v>
      </x:c>
      <x:c r="G111" s="6"/>
      <x:c r="H111" s="299"/>
      <x:c r="I111" s="3" t="s">
        <x:v>1545</x:v>
      </x:c>
      <x:c r="J111" s="3" t="s">
        <x:v>1383</x:v>
      </x:c>
      <x:c r="K111" s="4">
        <x:v>7820000</x:v>
      </x:c>
      <x:c r="L111" s="44"/>
      <x:c r="M111" s="45">
        <x:f>+K111+L111</x:f>
        <x:v>7820000</x:v>
      </x:c>
      <x:c r="N111" s="37" t="s">
        <x:v>532</x:v>
      </x:c>
      <x:c r="V111" s="1"/>
    </x:row>
    <x:row r="112" spans="1:22" s="2" customFormat="1" ht="20.100000000000001" customHeight="1">
      <x:c r="A112" s="299"/>
      <x:c r="B112" s="3"/>
      <x:c r="C112" s="3"/>
      <x:c r="D112" s="4"/>
      <x:c r="E112" s="4"/>
      <x:c r="F112" s="5">
        <x:f>+D112+E112</x:f>
        <x:v>0</x:v>
      </x:c>
      <x:c r="G112" s="6"/>
      <x:c r="H112" s="299"/>
      <x:c r="I112" s="3"/>
      <x:c r="J112" s="3"/>
      <x:c r="K112" s="4"/>
      <x:c r="L112" s="4">
        <x:f>+K112*0.1</x:f>
        <x:v>0</x:v>
      </x:c>
      <x:c r="M112" s="5">
        <x:f>+K112+L112</x:f>
        <x:v>0</x:v>
      </x:c>
      <x:c r="N112" s="6"/>
      <x:c r="V112" s="1"/>
    </x:row>
    <x:row r="113" spans="1:22" s="2" customFormat="1" ht="20.100000000000001" customHeight="1">
      <x:c r="A113" s="300"/>
      <x:c r="B113" s="3"/>
      <x:c r="C113" s="3"/>
      <x:c r="D113" s="4"/>
      <x:c r="E113" s="4">
        <x:f>+D113*0.1</x:f>
        <x:v>0</x:v>
      </x:c>
      <x:c r="F113" s="5">
        <x:f>+D113+E113</x:f>
        <x:v>0</x:v>
      </x:c>
      <x:c r="G113" s="6"/>
      <x:c r="H113" s="300"/>
      <x:c r="I113" s="3"/>
      <x:c r="J113" s="3"/>
      <x:c r="K113" s="4"/>
      <x:c r="L113" s="4">
        <x:f>+K113*0.1</x:f>
        <x:v>0</x:v>
      </x:c>
      <x:c r="M113" s="5">
        <x:f>+K113+L113</x:f>
        <x:v>0</x:v>
      </x:c>
      <x:c r="N113" s="6"/>
      <x:c r="V113" s="1"/>
    </x:row>
    <x:row r="114" spans="1:22" s="2" customFormat="1" ht="20.100000000000001" customHeight="1">
      <x:c r="A114" s="7"/>
      <x:c r="B114" s="8"/>
      <x:c r="C114" s="8"/>
      <x:c r="D114" s="9">
        <x:f>SUM(D110:D113)</x:f>
        <x:v>32295000</x:v>
      </x:c>
      <x:c r="E114" s="9">
        <x:f>SUM(E110:E113)</x:f>
        <x:v>417500</x:v>
      </x:c>
      <x:c r="F114" s="10">
        <x:f>SUM(F110:F113)</x:f>
        <x:v>32712500</x:v>
      </x:c>
      <x:c r="G114" s="11"/>
      <x:c r="H114" s="7" t="s">
        <x:v>155</x:v>
      </x:c>
      <x:c r="I114" s="8"/>
      <x:c r="J114" s="8"/>
      <x:c r="K114" s="9">
        <x:f>SUM(K110:K113)</x:f>
        <x:v>14460000</x:v>
      </x:c>
      <x:c r="L114" s="9">
        <x:f>SUM(L110:L113)</x:f>
        <x:v>0</x:v>
      </x:c>
      <x:c r="M114" s="10">
        <x:f>SUM(M110:M113)</x:f>
        <x:v>14460000</x:v>
      </x:c>
      <x:c r="N114" s="11"/>
      <x:c r="V114" s="1"/>
    </x:row>
    <x:row r="115" spans="1:22" s="2" customFormat="1" ht="20.100000000000001" customHeight="1">
      <x:c r="A115" s="301" t="s">
        <x:v>187</x:v>
      </x:c>
      <x:c r="B115" s="3" t="s">
        <x:v>1124</x:v>
      </x:c>
      <x:c r="C115" s="3" t="s">
        <x:v>1006</x:v>
      </x:c>
      <x:c r="D115" s="4">
        <x:v>1540000</x:v>
      </x:c>
      <x:c r="E115" s="4">
        <x:f>+D115*0.1</x:f>
        <x:v>154000</x:v>
      </x:c>
      <x:c r="F115" s="5">
        <x:f>+D115+E115</x:f>
        <x:v>1694000</x:v>
      </x:c>
      <x:c r="G115" s="6"/>
      <x:c r="H115" s="301" t="s">
        <x:v>187</x:v>
      </x:c>
      <x:c r="I115" s="3"/>
      <x:c r="J115" s="3"/>
      <x:c r="K115" s="4"/>
      <x:c r="L115" s="4">
        <x:f>+K115*0.1</x:f>
        <x:v>0</x:v>
      </x:c>
      <x:c r="M115" s="5">
        <x:f>+K115+L115</x:f>
        <x:v>0</x:v>
      </x:c>
      <x:c r="N115" s="6"/>
      <x:c r="V115" s="1"/>
    </x:row>
    <x:row r="116" spans="1:22" s="2" customFormat="1" ht="20.100000000000001" customHeight="1">
      <x:c r="A116" s="299"/>
      <x:c r="B116" s="3" t="s">
        <x:v>460</x:v>
      </x:c>
      <x:c r="C116" s="3" t="s">
        <x:v>1478</x:v>
      </x:c>
      <x:c r="D116" s="4">
        <x:v>1500000</x:v>
      </x:c>
      <x:c r="E116" s="4">
        <x:f>+D116*0.1</x:f>
        <x:v>150000</x:v>
      </x:c>
      <x:c r="F116" s="5">
        <x:f>+D116+E116</x:f>
        <x:v>1650000</x:v>
      </x:c>
      <x:c r="G116" s="6"/>
      <x:c r="H116" s="299"/>
      <x:c r="I116" s="3"/>
      <x:c r="J116" s="3"/>
      <x:c r="K116" s="4"/>
      <x:c r="L116" s="4">
        <x:f>+K116*0.1</x:f>
        <x:v>0</x:v>
      </x:c>
      <x:c r="M116" s="5">
        <x:f>+K116+L116</x:f>
        <x:v>0</x:v>
      </x:c>
      <x:c r="N116" s="6"/>
      <x:c r="V116" s="1"/>
    </x:row>
    <x:row r="117" spans="1:22" s="2" customFormat="1" ht="20.100000000000001" customHeight="1">
      <x:c r="A117" s="299"/>
      <x:c r="B117" s="3" t="s">
        <x:v>461</x:v>
      </x:c>
      <x:c r="C117" s="3" t="s">
        <x:v>1478</x:v>
      </x:c>
      <x:c r="D117" s="4">
        <x:v>500000</x:v>
      </x:c>
      <x:c r="E117" s="4">
        <x:f>+D117*0.1</x:f>
        <x:v>50000</x:v>
      </x:c>
      <x:c r="F117" s="5">
        <x:f>+D117+E117</x:f>
        <x:v>550000</x:v>
      </x:c>
      <x:c r="G117" s="6"/>
      <x:c r="H117" s="299"/>
      <x:c r="I117" s="3"/>
      <x:c r="J117" s="3"/>
      <x:c r="K117" s="4"/>
      <x:c r="L117" s="4">
        <x:f>+K117*0.1</x:f>
        <x:v>0</x:v>
      </x:c>
      <x:c r="M117" s="5">
        <x:f>+K117+L117</x:f>
        <x:v>0</x:v>
      </x:c>
      <x:c r="N117" s="6"/>
      <x:c r="V117" s="1"/>
    </x:row>
    <x:row r="118" spans="1:22" s="2" customFormat="1" ht="20.100000000000001" customHeight="1">
      <x:c r="A118" s="300"/>
      <x:c r="B118" s="3"/>
      <x:c r="C118" s="3"/>
      <x:c r="D118" s="4"/>
      <x:c r="E118" s="4">
        <x:f>+D118*0.1</x:f>
        <x:v>0</x:v>
      </x:c>
      <x:c r="F118" s="5">
        <x:f>+D118+E118</x:f>
        <x:v>0</x:v>
      </x:c>
      <x:c r="G118" s="6"/>
      <x:c r="H118" s="300"/>
      <x:c r="I118" s="3"/>
      <x:c r="J118" s="3"/>
      <x:c r="K118" s="4"/>
      <x:c r="L118" s="4">
        <x:f>+K118*0.1</x:f>
        <x:v>0</x:v>
      </x:c>
      <x:c r="M118" s="5">
        <x:f>+K118+L118</x:f>
        <x:v>0</x:v>
      </x:c>
      <x:c r="N118" s="6"/>
      <x:c r="V118" s="1"/>
    </x:row>
    <x:row r="119" spans="1:22" s="2" customFormat="1" ht="20.100000000000001" customHeight="1">
      <x:c r="A119" s="7"/>
      <x:c r="B119" s="8"/>
      <x:c r="C119" s="8"/>
      <x:c r="D119" s="9">
        <x:f>SUM(D115:D118)</x:f>
        <x:v>3540000</x:v>
      </x:c>
      <x:c r="E119" s="9">
        <x:f>SUM(E115:E118)</x:f>
        <x:v>354000</x:v>
      </x:c>
      <x:c r="F119" s="10">
        <x:f>SUM(F115:F118)</x:f>
        <x:v>3894000</x:v>
      </x:c>
      <x:c r="G119" s="11"/>
      <x:c r="H119" s="7" t="s">
        <x:v>155</x:v>
      </x:c>
      <x:c r="I119" s="8"/>
      <x:c r="J119" s="8"/>
      <x:c r="K119" s="9">
        <x:f>SUM(K115:K118)</x:f>
        <x:v>0</x:v>
      </x:c>
      <x:c r="L119" s="9">
        <x:f>SUM(L115:L118)</x:f>
        <x:v>0</x:v>
      </x:c>
      <x:c r="M119" s="10">
        <x:f>SUM(M115:M118)</x:f>
        <x:v>0</x:v>
      </x:c>
      <x:c r="N119" s="11"/>
      <x:c r="V119" s="1"/>
    </x:row>
    <x:row r="120" spans="1:22" s="2" customFormat="1" ht="20.100000000000001" customHeight="1">
      <x:c r="A120" s="301" t="s">
        <x:v>149</x:v>
      </x:c>
      <x:c r="B120" s="3" t="s">
        <x:v>177</x:v>
      </x:c>
      <x:c r="C120" s="3" t="s">
        <x:v>149</x:v>
      </x:c>
      <x:c r="D120" s="4">
        <x:v>1619100</x:v>
      </x:c>
      <x:c r="E120" s="4"/>
      <x:c r="F120" s="5">
        <x:f t="shared" ref="F120:F128" si="23">+D120+E120</x:f>
        <x:v>1619100</x:v>
      </x:c>
      <x:c r="G120" s="6"/>
      <x:c r="H120" s="301" t="s">
        <x:v>149</x:v>
      </x:c>
      <x:c r="I120" s="3" t="s">
        <x:v>177</x:v>
      </x:c>
      <x:c r="J120" s="3" t="s">
        <x:v>149</x:v>
      </x:c>
      <x:c r="K120" s="4">
        <x:v>407430</x:v>
      </x:c>
      <x:c r="L120" s="4"/>
      <x:c r="M120" s="5">
        <x:f t="shared" ref="M120:M129" si="24">+K120+L120</x:f>
        <x:v>407430</x:v>
      </x:c>
      <x:c r="N120" s="6"/>
      <x:c r="V120" s="1"/>
    </x:row>
    <x:row r="121" spans="1:22" s="2" customFormat="1" ht="20.100000000000001" customHeight="1">
      <x:c r="A121" s="299"/>
      <x:c r="B121" s="3" t="s">
        <x:v>601</x:v>
      </x:c>
      <x:c r="C121" s="3" t="s">
        <x:v>962</x:v>
      </x:c>
      <x:c r="D121" s="4">
        <x:v>896000</x:v>
      </x:c>
      <x:c r="E121" s="4">
        <x:f>+D121*0.1</x:f>
        <x:v>89600</x:v>
      </x:c>
      <x:c r="F121" s="5">
        <x:f t="shared" si="23"/>
        <x:v>985600</x:v>
      </x:c>
      <x:c r="G121" s="6"/>
      <x:c r="H121" s="299"/>
      <x:c r="I121" s="3" t="s">
        <x:v>1359</x:v>
      </x:c>
      <x:c r="J121" s="3" t="s">
        <x:v>1356</x:v>
      </x:c>
      <x:c r="K121" s="4">
        <x:v>468000</x:v>
      </x:c>
      <x:c r="L121" s="4">
        <x:f>+K121*0.1</x:f>
        <x:v>46800</x:v>
      </x:c>
      <x:c r="M121" s="5">
        <x:f t="shared" si="24"/>
        <x:v>514800</x:v>
      </x:c>
      <x:c r="N121" s="6"/>
      <x:c r="V121" s="1"/>
    </x:row>
    <x:row r="122" spans="1:22" s="2" customFormat="1" ht="20.100000000000001" customHeight="1">
      <x:c r="A122" s="299"/>
      <x:c r="B122" s="3" t="s">
        <x:v>926</x:v>
      </x:c>
      <x:c r="C122" s="3" t="s">
        <x:v>409</x:v>
      </x:c>
      <x:c r="D122" s="4">
        <x:v>367870</x:v>
      </x:c>
      <x:c r="E122" s="4"/>
      <x:c r="F122" s="5">
        <x:f t="shared" si="23"/>
        <x:v>367870</x:v>
      </x:c>
      <x:c r="G122" s="6"/>
      <x:c r="H122" s="299"/>
      <x:c r="I122" s="3" t="s">
        <x:v>540</x:v>
      </x:c>
      <x:c r="J122" s="3" t="s">
        <x:v>1512</x:v>
      </x:c>
      <x:c r="K122" s="4">
        <x:v>4000000</x:v>
      </x:c>
      <x:c r="L122" s="4">
        <x:f>+K122*0.1</x:f>
        <x:v>400000</x:v>
      </x:c>
      <x:c r="M122" s="5">
        <x:f t="shared" si="24"/>
        <x:v>4400000</x:v>
      </x:c>
      <x:c r="N122" s="6" t="s">
        <x:v>543</x:v>
      </x:c>
      <x:c r="V122" s="1"/>
    </x:row>
    <x:row r="123" spans="1:22" s="2" customFormat="1" ht="20.100000000000001" customHeight="1">
      <x:c r="A123" s="299"/>
      <x:c r="B123" s="3" t="s">
        <x:v>947</x:v>
      </x:c>
      <x:c r="C123" s="3" t="s">
        <x:v>914</x:v>
      </x:c>
      <x:c r="D123" s="4">
        <x:v>50000</x:v>
      </x:c>
      <x:c r="E123" s="4">
        <x:f t="shared" ref="E123:E128" si="25">+D123*0.1</x:f>
        <x:v>5000</x:v>
      </x:c>
      <x:c r="F123" s="5">
        <x:f t="shared" si="23"/>
        <x:v>55000</x:v>
      </x:c>
      <x:c r="G123" s="6"/>
      <x:c r="H123" s="299"/>
      <x:c r="I123" s="3"/>
      <x:c r="J123" s="3"/>
      <x:c r="K123" s="4"/>
      <x:c r="L123" s="4"/>
      <x:c r="M123" s="5">
        <x:f t="shared" si="24"/>
        <x:v>0</x:v>
      </x:c>
      <x:c r="N123" s="6"/>
      <x:c r="V123" s="1"/>
    </x:row>
    <x:row r="124" spans="1:22" s="2" customFormat="1" ht="20.100000000000001" customHeight="1">
      <x:c r="A124" s="299"/>
      <x:c r="B124" s="3" t="s">
        <x:v>1327</x:v>
      </x:c>
      <x:c r="C124" s="3" t="s">
        <x:v>167</x:v>
      </x:c>
      <x:c r="D124" s="4">
        <x:v>76000</x:v>
      </x:c>
      <x:c r="E124" s="4">
        <x:f t="shared" si="25"/>
        <x:v>7600</x:v>
      </x:c>
      <x:c r="F124" s="5">
        <x:f t="shared" si="23"/>
        <x:v>83600</x:v>
      </x:c>
      <x:c r="G124" s="6"/>
      <x:c r="H124" s="299"/>
      <x:c r="I124" s="3"/>
      <x:c r="J124" s="3"/>
      <x:c r="K124" s="4"/>
      <x:c r="L124" s="4"/>
      <x:c r="M124" s="5">
        <x:f t="shared" si="24"/>
        <x:v>0</x:v>
      </x:c>
      <x:c r="N124" s="6"/>
      <x:c r="V124" s="1"/>
    </x:row>
    <x:row r="125" spans="1:22" s="2" customFormat="1" ht="20.100000000000001" customHeight="1">
      <x:c r="A125" s="299"/>
      <x:c r="B125" s="3" t="s">
        <x:v>247</x:v>
      </x:c>
      <x:c r="C125" s="3" t="s">
        <x:v>231</x:v>
      </x:c>
      <x:c r="D125" s="4">
        <x:v>20000</x:v>
      </x:c>
      <x:c r="E125" s="4">
        <x:f t="shared" si="25"/>
        <x:v>2000</x:v>
      </x:c>
      <x:c r="F125" s="5">
        <x:f t="shared" si="23"/>
        <x:v>22000</x:v>
      </x:c>
      <x:c r="G125" s="6"/>
      <x:c r="H125" s="299"/>
      <x:c r="I125" s="3"/>
      <x:c r="J125" s="3"/>
      <x:c r="K125" s="4"/>
      <x:c r="L125" s="4"/>
      <x:c r="M125" s="5">
        <x:f t="shared" si="24"/>
        <x:v>0</x:v>
      </x:c>
      <x:c r="N125" s="6"/>
      <x:c r="V125" s="1"/>
    </x:row>
    <x:row r="126" spans="1:22" s="2" customFormat="1" ht="20.100000000000001" customHeight="1">
      <x:c r="A126" s="299"/>
      <x:c r="B126" s="3" t="s">
        <x:v>1444</x:v>
      </x:c>
      <x:c r="C126" s="3" t="s">
        <x:v>817</x:v>
      </x:c>
      <x:c r="D126" s="4">
        <x:v>450000</x:v>
      </x:c>
      <x:c r="E126" s="4">
        <x:f t="shared" si="25"/>
        <x:v>45000</x:v>
      </x:c>
      <x:c r="F126" s="5">
        <x:f t="shared" si="23"/>
        <x:v>495000</x:v>
      </x:c>
      <x:c r="G126" s="6"/>
      <x:c r="H126" s="299"/>
      <x:c r="I126" s="3"/>
      <x:c r="J126" s="3"/>
      <x:c r="K126" s="4"/>
      <x:c r="L126" s="4"/>
      <x:c r="M126" s="5">
        <x:f t="shared" si="24"/>
        <x:v>0</x:v>
      </x:c>
      <x:c r="N126" s="6"/>
      <x:c r="V126" s="1"/>
    </x:row>
    <x:row r="127" spans="1:22" s="2" customFormat="1" ht="20.100000000000001" customHeight="1">
      <x:c r="A127" s="299"/>
      <x:c r="B127" s="3" t="s">
        <x:v>1412</x:v>
      </x:c>
      <x:c r="C127" s="3" t="s">
        <x:v>1496</x:v>
      </x:c>
      <x:c r="D127" s="4">
        <x:v>2000</x:v>
      </x:c>
      <x:c r="E127" s="4">
        <x:f t="shared" si="25"/>
        <x:v>200</x:v>
      </x:c>
      <x:c r="F127" s="5">
        <x:f t="shared" si="23"/>
        <x:v>2200</x:v>
      </x:c>
      <x:c r="G127" s="6"/>
      <x:c r="H127" s="299"/>
      <x:c r="I127" s="3"/>
      <x:c r="J127" s="3"/>
      <x:c r="K127" s="4"/>
      <x:c r="L127" s="4"/>
      <x:c r="M127" s="5">
        <x:f t="shared" si="24"/>
        <x:v>0</x:v>
      </x:c>
      <x:c r="N127" s="6"/>
      <x:c r="V127" s="1"/>
    </x:row>
    <x:row r="128" spans="1:22" s="2" customFormat="1" ht="20.100000000000001" customHeight="1">
      <x:c r="A128" s="299"/>
      <x:c r="B128" s="3" t="s">
        <x:v>1529</x:v>
      </x:c>
      <x:c r="C128" s="3" t="s">
        <x:v>1534</x:v>
      </x:c>
      <x:c r="D128" s="4">
        <x:v>70000</x:v>
      </x:c>
      <x:c r="E128" s="4">
        <x:f t="shared" si="25"/>
        <x:v>7000</x:v>
      </x:c>
      <x:c r="F128" s="5">
        <x:f t="shared" si="23"/>
        <x:v>77000</x:v>
      </x:c>
      <x:c r="G128" s="6"/>
      <x:c r="H128" s="299"/>
      <x:c r="I128" s="3"/>
      <x:c r="J128" s="3"/>
      <x:c r="K128" s="4"/>
      <x:c r="L128" s="4"/>
      <x:c r="M128" s="5">
        <x:f t="shared" si="24"/>
        <x:v>0</x:v>
      </x:c>
      <x:c r="N128" s="6"/>
      <x:c r="V128" s="1"/>
    </x:row>
    <x:row r="129" spans="1:22" s="2" customFormat="1" ht="20.100000000000001" customHeight="1">
      <x:c r="A129" s="300"/>
      <x:c r="B129" s="3"/>
      <x:c r="C129" s="3"/>
      <x:c r="D129" s="4"/>
      <x:c r="E129" s="4"/>
      <x:c r="F129" s="5"/>
      <x:c r="G129" s="6"/>
      <x:c r="H129" s="300"/>
      <x:c r="I129" s="3"/>
      <x:c r="J129" s="3"/>
      <x:c r="K129" s="4"/>
      <x:c r="L129" s="4"/>
      <x:c r="M129" s="5">
        <x:f t="shared" si="24"/>
        <x:v>0</x:v>
      </x:c>
      <x:c r="N129" s="6"/>
      <x:c r="V129" s="1"/>
    </x:row>
    <x:row r="130" spans="1:22" s="2" customFormat="1" ht="20.100000000000001" customHeight="1">
      <x:c r="A130" s="7"/>
      <x:c r="B130" s="8"/>
      <x:c r="C130" s="8"/>
      <x:c r="D130" s="9">
        <x:f>SUM(D120:D129)</x:f>
        <x:v>3550970</x:v>
      </x:c>
      <x:c r="E130" s="9">
        <x:f>SUM(E120:E129)</x:f>
        <x:v>156400</x:v>
      </x:c>
      <x:c r="F130" s="10">
        <x:f>SUM(F120:F129)</x:f>
        <x:v>3707370</x:v>
      </x:c>
      <x:c r="G130" s="11"/>
      <x:c r="H130" s="7" t="s">
        <x:v>155</x:v>
      </x:c>
      <x:c r="I130" s="8"/>
      <x:c r="J130" s="8"/>
      <x:c r="K130" s="9">
        <x:f>SUM(K120:K129)</x:f>
        <x:v>4875430</x:v>
      </x:c>
      <x:c r="L130" s="9">
        <x:f>SUM(L120:L129)</x:f>
        <x:v>446800</x:v>
      </x:c>
      <x:c r="M130" s="10">
        <x:f>SUM(M120:M129)</x:f>
        <x:v>5322230</x:v>
      </x:c>
      <x:c r="N130" s="11"/>
      <x:c r="V130" s="1"/>
    </x:row>
    <x:row r="131" spans="1:22" s="2" customFormat="1" ht="20.100000000000001" customHeight="1">
      <x:c r="A131" s="12"/>
      <x:c r="B131" s="13"/>
      <x:c r="C131" s="13"/>
      <x:c r="D131" s="14">
        <x:f>+D109+D114+D119+D130</x:f>
        <x:v>167123486</x:v>
      </x:c>
      <x:c r="E131" s="14">
        <x:f>+E109+E114+E119+E130</x:f>
        <x:v>13701650</x:v>
      </x:c>
      <x:c r="F131" s="15">
        <x:f>+F109+F114+F119+F130</x:f>
        <x:v>180825136</x:v>
      </x:c>
      <x:c r="G131" s="16"/>
      <x:c r="H131" s="12" t="s">
        <x:v>1690</x:v>
      </x:c>
      <x:c r="I131" s="13"/>
      <x:c r="J131" s="13"/>
      <x:c r="K131" s="14">
        <x:f>+K109+K114+K119+K130</x:f>
        <x:v>80312030</x:v>
      </x:c>
      <x:c r="L131" s="14">
        <x:f>+L109+L114+L119+L130</x:f>
        <x:v>6544460</x:v>
      </x:c>
      <x:c r="M131" s="15">
        <x:f>+M109+M114+M119+M130</x:f>
        <x:v>86856490</x:v>
      </x:c>
      <x:c r="N131" s="16"/>
      <x:c r="V131" s="1"/>
    </x:row>
    <x:row r="132" spans="1:22" s="2" customFormat="1" ht="20.100000000000001" customHeight="1">
      <x:c r="A132" s="23"/>
      <x:c r="B132" s="24"/>
      <x:c r="C132" s="24"/>
      <x:c r="D132" s="25">
        <x:f>+D92-D131</x:f>
        <x:v>-45123486</x:v>
      </x:c>
      <x:c r="E132" s="25">
        <x:f>+E92-E131</x:f>
        <x:v>-1501650</x:v>
      </x:c>
      <x:c r="F132" s="26">
        <x:f>+F92-F131</x:f>
        <x:v>-46625136</x:v>
      </x:c>
      <x:c r="G132" s="27"/>
      <x:c r="H132" s="23" t="s">
        <x:v>35</x:v>
      </x:c>
      <x:c r="I132" s="24"/>
      <x:c r="J132" s="24"/>
      <x:c r="K132" s="25">
        <x:f>+K92-K131</x:f>
        <x:v>20815170</x:v>
      </x:c>
      <x:c r="L132" s="25">
        <x:f>+L92-L131</x:f>
        <x:v>2786260</x:v>
      </x:c>
      <x:c r="M132" s="26">
        <x:f>+M92-M131</x:f>
        <x:v>23601430</x:v>
      </x:c>
      <x:c r="N132" s="27"/>
      <x:c r="V132" s="1"/>
    </x:row>
    <x:row r="133" spans="1:22" s="2" customFormat="1" ht="20.100000000000001" customHeight="1">
      <x:c r="A133" s="302" t="s">
        <x:v>423</x:v>
      </x:c>
      <x:c r="B133" s="303"/>
      <x:c r="C133" s="303"/>
      <x:c r="D133" s="303"/>
      <x:c r="E133" s="303"/>
      <x:c r="F133" s="304"/>
      <x:c r="G133" s="305"/>
      <x:c r="H133" s="302" t="s">
        <x:v>494</x:v>
      </x:c>
      <x:c r="I133" s="303"/>
      <x:c r="J133" s="303"/>
      <x:c r="K133" s="303"/>
      <x:c r="L133" s="303"/>
      <x:c r="M133" s="304"/>
      <x:c r="N133" s="305"/>
      <x:c r="V133" s="1"/>
    </x:row>
    <x:row r="134" spans="1:22" s="2" customFormat="1" ht="20.100000000000001" customHeight="1">
      <x:c r="A134" s="29" t="s">
        <x:v>147</x:v>
      </x:c>
      <x:c r="B134" s="220" t="s">
        <x:v>144</x:v>
      </x:c>
      <x:c r="C134" s="220" t="s">
        <x:v>150</x:v>
      </x:c>
      <x:c r="D134" s="31" t="s">
        <x:v>145</x:v>
      </x:c>
      <x:c r="E134" s="31" t="s">
        <x:v>152</x:v>
      </x:c>
      <x:c r="F134" s="32" t="s">
        <x:v>146</x:v>
      </x:c>
      <x:c r="G134" s="33" t="s">
        <x:v>154</x:v>
      </x:c>
      <x:c r="H134" s="29" t="s">
        <x:v>147</x:v>
      </x:c>
      <x:c r="I134" s="220" t="s">
        <x:v>144</x:v>
      </x:c>
      <x:c r="J134" s="220" t="s">
        <x:v>150</x:v>
      </x:c>
      <x:c r="K134" s="31" t="s">
        <x:v>145</x:v>
      </x:c>
      <x:c r="L134" s="31" t="s">
        <x:v>152</x:v>
      </x:c>
      <x:c r="M134" s="31" t="s">
        <x:v>146</x:v>
      </x:c>
      <x:c r="N134" s="34" t="s">
        <x:v>154</x:v>
      </x:c>
      <x:c r="V134" s="1"/>
    </x:row>
    <x:row r="135" spans="1:22" s="2" customFormat="1" ht="20.100000000000001" customHeight="1">
      <x:c r="A135" s="219" t="s">
        <x:v>151</x:v>
      </x:c>
      <x:c r="B135" s="38" t="s">
        <x:v>1679</x:v>
      </x:c>
      <x:c r="C135" s="38" t="s">
        <x:v>156</x:v>
      </x:c>
      <x:c r="D135" s="39"/>
      <x:c r="E135" s="39"/>
      <x:c r="F135" s="40">
        <x:f t="shared" ref="F135:F150" si="26">+D135+E135</x:f>
        <x:v>0</x:v>
      </x:c>
      <x:c r="G135" s="18"/>
      <x:c r="H135" s="41" t="s">
        <x:v>151</x:v>
      </x:c>
      <x:c r="I135" s="38" t="s">
        <x:v>1679</x:v>
      </x:c>
      <x:c r="J135" s="38" t="s">
        <x:v>1030</x:v>
      </x:c>
      <x:c r="K135" s="39"/>
      <x:c r="L135" s="39"/>
      <x:c r="M135" s="40">
        <x:f>+K135+L135</x:f>
        <x:v>0</x:v>
      </x:c>
      <x:c r="N135" s="42"/>
      <x:c r="V135" s="1"/>
    </x:row>
    <x:row r="136" spans="1:22" s="2" customFormat="1" ht="20.100000000000001" customHeight="1">
      <x:c r="A136" s="298" t="s">
        <x:v>148</x:v>
      </x:c>
      <x:c r="B136" s="54" t="s">
        <x:v>1329</x:v>
      </x:c>
      <x:c r="C136" s="54" t="s">
        <x:v>1112</x:v>
      </x:c>
      <x:c r="D136" s="93"/>
      <x:c r="E136" s="93">
        <x:f t="shared" ref="E136:E148" si="27">+INT(D136*0.1)</x:f>
        <x:v>0</x:v>
      </x:c>
      <x:c r="F136" s="94">
        <x:f t="shared" si="26"/>
        <x:v>0</x:v>
      </x:c>
      <x:c r="G136" s="95" t="s">
        <x:v>273</x:v>
      </x:c>
      <x:c r="H136" s="298" t="s">
        <x:v>148</x:v>
      </x:c>
      <x:c r="I136" s="19" t="s">
        <x:v>867</x:v>
      </x:c>
      <x:c r="J136" s="19" t="s">
        <x:v>1287</x:v>
      </x:c>
      <x:c r="K136" s="20">
        <x:v>2832000</x:v>
      </x:c>
      <x:c r="L136" s="20">
        <x:f>+K136*0.1</x:f>
        <x:v>283200</x:v>
      </x:c>
      <x:c r="M136" s="21">
        <x:f t="shared" ref="M136:M151" si="28">+K136+L136</x:f>
        <x:v>3115200</x:v>
      </x:c>
      <x:c r="N136" s="22"/>
      <x:c r="V136" s="1"/>
    </x:row>
    <x:row r="137" spans="1:22" s="2" customFormat="1" ht="20.100000000000001" customHeight="1">
      <x:c r="A137" s="299"/>
      <x:c r="B137" s="162" t="s">
        <x:v>1358</x:v>
      </x:c>
      <x:c r="C137" s="162"/>
      <x:c r="D137" s="163"/>
      <x:c r="E137" s="4">
        <x:f t="shared" si="27"/>
        <x:v>0</x:v>
      </x:c>
      <x:c r="F137" s="193">
        <x:f t="shared" si="26"/>
        <x:v>0</x:v>
      </x:c>
      <x:c r="G137" s="180" t="s">
        <x:v>258</x:v>
      </x:c>
      <x:c r="H137" s="299"/>
      <x:c r="I137" s="3" t="s">
        <x:v>1348</x:v>
      </x:c>
      <x:c r="J137" s="3" t="s">
        <x:v>1183</x:v>
      </x:c>
      <x:c r="K137" s="4">
        <x:v>6158700</x:v>
      </x:c>
      <x:c r="L137" s="4">
        <x:f>K137*0.1</x:f>
        <x:v>615870</x:v>
      </x:c>
      <x:c r="M137" s="5">
        <x:f t="shared" si="28"/>
        <x:v>6774570</x:v>
      </x:c>
      <x:c r="N137" s="6"/>
      <x:c r="V137" s="1"/>
    </x:row>
    <x:row r="138" spans="1:22" s="2" customFormat="1" ht="20.100000000000001" customHeight="1">
      <x:c r="A138" s="299"/>
      <x:c r="B138" s="3" t="s">
        <x:v>1362</x:v>
      </x:c>
      <x:c r="C138" s="3"/>
      <x:c r="D138" s="4"/>
      <x:c r="E138" s="4">
        <x:f t="shared" si="27"/>
        <x:v>0</x:v>
      </x:c>
      <x:c r="F138" s="194">
        <x:f t="shared" si="26"/>
        <x:v>0</x:v>
      </x:c>
      <x:c r="G138" s="180" t="s">
        <x:v>258</x:v>
      </x:c>
      <x:c r="H138" s="299"/>
      <x:c r="I138" s="3" t="s">
        <x:v>838</x:v>
      </x:c>
      <x:c r="J138" s="3" t="s">
        <x:v>1116</x:v>
      </x:c>
      <x:c r="K138" s="4">
        <x:v>1576500</x:v>
      </x:c>
      <x:c r="L138" s="4">
        <x:f>+K138*0.1</x:f>
        <x:v>157650</x:v>
      </x:c>
      <x:c r="M138" s="5">
        <x:f t="shared" si="28"/>
        <x:v>1734150</x:v>
      </x:c>
      <x:c r="N138" s="6"/>
      <x:c r="V138" s="1"/>
    </x:row>
    <x:row r="139" spans="1:22" s="2" customFormat="1" ht="20.100000000000001" customHeight="1">
      <x:c r="A139" s="299"/>
      <x:c r="B139" s="3" t="s">
        <x:v>1363</x:v>
      </x:c>
      <x:c r="C139" s="3"/>
      <x:c r="D139" s="4"/>
      <x:c r="E139" s="4">
        <x:f t="shared" si="27"/>
        <x:v>0</x:v>
      </x:c>
      <x:c r="F139" s="194">
        <x:f t="shared" si="26"/>
        <x:v>0</x:v>
      </x:c>
      <x:c r="G139" s="180" t="s">
        <x:v>258</x:v>
      </x:c>
      <x:c r="H139" s="299"/>
      <x:c r="I139" s="3" t="s">
        <x:v>938</x:v>
      </x:c>
      <x:c r="J139" s="3" t="s">
        <x:v>1330</x:v>
      </x:c>
      <x:c r="K139" s="4">
        <x:v>575000</x:v>
      </x:c>
      <x:c r="L139" s="4">
        <x:f>+K139*0.1</x:f>
        <x:v>57500</x:v>
      </x:c>
      <x:c r="M139" s="5">
        <x:f t="shared" si="28"/>
        <x:v>632500</x:v>
      </x:c>
      <x:c r="N139" s="6"/>
      <x:c r="V139" s="1"/>
    </x:row>
    <x:row r="140" spans="1:22" s="2" customFormat="1" ht="20.100000000000001" customHeight="1">
      <x:c r="A140" s="299"/>
      <x:c r="B140" s="3" t="s">
        <x:v>1372</x:v>
      </x:c>
      <x:c r="C140" s="3" t="s">
        <x:v>1405</x:v>
      </x:c>
      <x:c r="D140" s="4"/>
      <x:c r="E140" s="4">
        <x:f t="shared" si="27"/>
        <x:v>0</x:v>
      </x:c>
      <x:c r="F140" s="194">
        <x:f t="shared" si="26"/>
        <x:v>0</x:v>
      </x:c>
      <x:c r="G140" s="180" t="s">
        <x:v>258</x:v>
      </x:c>
      <x:c r="H140" s="299"/>
      <x:c r="I140" s="3" t="s">
        <x:v>976</x:v>
      </x:c>
      <x:c r="J140" s="3" t="s">
        <x:v>1232</x:v>
      </x:c>
      <x:c r="K140" s="4">
        <x:v>583266</x:v>
      </x:c>
      <x:c r="L140" s="4">
        <x:f>+K140*0.1</x:f>
        <x:v>58326.600000000006</x:v>
      </x:c>
      <x:c r="M140" s="5">
        <x:f t="shared" si="28"/>
        <x:v>641592.59999999998</x:v>
      </x:c>
      <x:c r="N140" s="6"/>
      <x:c r="V140" s="1"/>
    </x:row>
    <x:row r="141" spans="1:22" s="2" customFormat="1" ht="20.100000000000001" customHeight="1">
      <x:c r="A141" s="299"/>
      <x:c r="B141" s="3" t="s">
        <x:v>1380</x:v>
      </x:c>
      <x:c r="C141" s="3" t="s">
        <x:v>1377</x:v>
      </x:c>
      <x:c r="D141" s="4"/>
      <x:c r="E141" s="4">
        <x:f t="shared" si="27"/>
        <x:v>0</x:v>
      </x:c>
      <x:c r="F141" s="194">
        <x:f t="shared" si="26"/>
        <x:v>0</x:v>
      </x:c>
      <x:c r="G141" s="180" t="s">
        <x:v>258</x:v>
      </x:c>
      <x:c r="H141" s="299"/>
      <x:c r="I141" s="3" t="s">
        <x:v>846</x:v>
      </x:c>
      <x:c r="J141" s="3" t="s">
        <x:v>1495</x:v>
      </x:c>
      <x:c r="K141" s="4">
        <x:v>289550</x:v>
      </x:c>
      <x:c r="L141" s="4">
        <x:f t="shared" ref="L141:L151" si="29">+K141*0.1</x:f>
        <x:v>28955</x:v>
      </x:c>
      <x:c r="M141" s="5">
        <x:f t="shared" si="28"/>
        <x:v>318505</x:v>
      </x:c>
      <x:c r="N141" s="6"/>
      <x:c r="V141" s="1"/>
    </x:row>
    <x:row r="142" spans="1:22" s="2" customFormat="1" ht="20.100000000000001" customHeight="1">
      <x:c r="A142" s="299"/>
      <x:c r="B142" s="3" t="s">
        <x:v>938</x:v>
      </x:c>
      <x:c r="C142" s="3"/>
      <x:c r="D142" s="4"/>
      <x:c r="E142" s="4">
        <x:f t="shared" si="27"/>
        <x:v>0</x:v>
      </x:c>
      <x:c r="F142" s="194">
        <x:f t="shared" si="26"/>
        <x:v>0</x:v>
      </x:c>
      <x:c r="G142" s="6" t="s">
        <x:v>273</x:v>
      </x:c>
      <x:c r="H142" s="299"/>
      <x:c r="I142" s="3"/>
      <x:c r="J142" s="3"/>
      <x:c r="K142" s="4"/>
      <x:c r="L142" s="4">
        <x:f t="shared" si="29"/>
        <x:v>0</x:v>
      </x:c>
      <x:c r="M142" s="5">
        <x:f t="shared" si="28"/>
        <x:v>0</x:v>
      </x:c>
      <x:c r="N142" s="6"/>
      <x:c r="V142" s="1"/>
    </x:row>
    <x:row r="143" spans="1:22" s="2" customFormat="1" ht="20.100000000000001" customHeight="1">
      <x:c r="A143" s="299"/>
      <x:c r="B143" s="3" t="s">
        <x:v>1418</x:v>
      </x:c>
      <x:c r="C143" s="3"/>
      <x:c r="D143" s="4"/>
      <x:c r="E143" s="4">
        <x:f t="shared" si="27"/>
        <x:v>0</x:v>
      </x:c>
      <x:c r="F143" s="194">
        <x:f t="shared" si="26"/>
        <x:v>0</x:v>
      </x:c>
      <x:c r="G143" s="180" t="s">
        <x:v>258</x:v>
      </x:c>
      <x:c r="H143" s="299"/>
      <x:c r="I143" s="3"/>
      <x:c r="J143" s="3"/>
      <x:c r="K143" s="4"/>
      <x:c r="L143" s="4">
        <x:f t="shared" si="29"/>
        <x:v>0</x:v>
      </x:c>
      <x:c r="M143" s="5">
        <x:f t="shared" si="28"/>
        <x:v>0</x:v>
      </x:c>
      <x:c r="N143" s="6"/>
      <x:c r="V143" s="1"/>
    </x:row>
    <x:row r="144" spans="1:22" s="2" customFormat="1" ht="20.100000000000001" customHeight="1">
      <x:c r="A144" s="299"/>
      <x:c r="B144" s="3" t="s">
        <x:v>1406</x:v>
      </x:c>
      <x:c r="C144" s="3"/>
      <x:c r="D144" s="4"/>
      <x:c r="E144" s="4">
        <x:f t="shared" si="27"/>
        <x:v>0</x:v>
      </x:c>
      <x:c r="F144" s="194">
        <x:f t="shared" si="26"/>
        <x:v>0</x:v>
      </x:c>
      <x:c r="G144" s="180" t="s">
        <x:v>258</x:v>
      </x:c>
      <x:c r="H144" s="299"/>
      <x:c r="I144" s="3"/>
      <x:c r="J144" s="3"/>
      <x:c r="K144" s="4"/>
      <x:c r="L144" s="4"/>
      <x:c r="M144" s="5"/>
      <x:c r="N144" s="6"/>
      <x:c r="V144" s="1"/>
    </x:row>
    <x:row r="145" spans="1:22" s="2" customFormat="1" ht="20.100000000000001" customHeight="1">
      <x:c r="A145" s="299"/>
      <x:c r="B145" s="3" t="s">
        <x:v>276</x:v>
      </x:c>
      <x:c r="C145" s="3"/>
      <x:c r="D145" s="4"/>
      <x:c r="E145" s="4">
        <x:f t="shared" si="27"/>
        <x:v>0</x:v>
      </x:c>
      <x:c r="F145" s="194">
        <x:f t="shared" si="26"/>
        <x:v>0</x:v>
      </x:c>
      <x:c r="G145" s="180" t="s">
        <x:v>258</x:v>
      </x:c>
      <x:c r="H145" s="299"/>
      <x:c r="I145" s="3"/>
      <x:c r="J145" s="3"/>
      <x:c r="K145" s="4"/>
      <x:c r="L145" s="4">
        <x:f t="shared" si="29"/>
        <x:v>0</x:v>
      </x:c>
      <x:c r="M145" s="5">
        <x:f t="shared" si="28"/>
        <x:v>0</x:v>
      </x:c>
      <x:c r="N145" s="6"/>
      <x:c r="V145" s="1"/>
    </x:row>
    <x:row r="146" spans="1:22" s="2" customFormat="1" ht="20.100000000000001" customHeight="1">
      <x:c r="A146" s="299"/>
      <x:c r="B146" s="3" t="s">
        <x:v>1400</x:v>
      </x:c>
      <x:c r="C146" s="3"/>
      <x:c r="D146" s="4"/>
      <x:c r="E146" s="4">
        <x:f t="shared" si="27"/>
        <x:v>0</x:v>
      </x:c>
      <x:c r="F146" s="194">
        <x:f t="shared" si="26"/>
        <x:v>0</x:v>
      </x:c>
      <x:c r="G146" s="6" t="s">
        <x:v>273</x:v>
      </x:c>
      <x:c r="H146" s="299"/>
      <x:c r="I146" s="3"/>
      <x:c r="J146" s="3"/>
      <x:c r="K146" s="4"/>
      <x:c r="L146" s="4">
        <x:f t="shared" si="29"/>
        <x:v>0</x:v>
      </x:c>
      <x:c r="M146" s="5">
        <x:f t="shared" si="28"/>
        <x:v>0</x:v>
      </x:c>
      <x:c r="N146" s="6"/>
      <x:c r="V146" s="1"/>
    </x:row>
    <x:row r="147" spans="1:22" s="2" customFormat="1" ht="20.100000000000001" customHeight="1">
      <x:c r="A147" s="299"/>
      <x:c r="B147" s="3" t="s">
        <x:v>1448</x:v>
      </x:c>
      <x:c r="C147" s="3" t="s">
        <x:v>272</x:v>
      </x:c>
      <x:c r="D147" s="4"/>
      <x:c r="E147" s="4">
        <x:f t="shared" si="27"/>
        <x:v>0</x:v>
      </x:c>
      <x:c r="F147" s="5">
        <x:f t="shared" si="26"/>
        <x:v>0</x:v>
      </x:c>
      <x:c r="G147" s="6" t="s">
        <x:v>273</x:v>
      </x:c>
      <x:c r="H147" s="299"/>
      <x:c r="I147" s="3"/>
      <x:c r="J147" s="3"/>
      <x:c r="K147" s="4"/>
      <x:c r="L147" s="4">
        <x:f t="shared" si="29"/>
        <x:v>0</x:v>
      </x:c>
      <x:c r="M147" s="5">
        <x:f t="shared" si="28"/>
        <x:v>0</x:v>
      </x:c>
      <x:c r="N147" s="6"/>
      <x:c r="V147" s="1"/>
    </x:row>
    <x:row r="148" spans="1:22" s="2" customFormat="1" ht="20.100000000000001" customHeight="1">
      <x:c r="A148" s="299"/>
      <x:c r="B148" s="3"/>
      <x:c r="C148" s="3"/>
      <x:c r="D148" s="4"/>
      <x:c r="E148" s="4">
        <x:f t="shared" si="27"/>
        <x:v>0</x:v>
      </x:c>
      <x:c r="F148" s="5">
        <x:f t="shared" si="26"/>
        <x:v>0</x:v>
      </x:c>
      <x:c r="G148" s="6"/>
      <x:c r="H148" s="299"/>
      <x:c r="I148" s="3"/>
      <x:c r="J148" s="3"/>
      <x:c r="K148" s="4"/>
      <x:c r="L148" s="4">
        <x:f t="shared" si="29"/>
        <x:v>0</x:v>
      </x:c>
      <x:c r="M148" s="5">
        <x:f t="shared" si="28"/>
        <x:v>0</x:v>
      </x:c>
      <x:c r="N148" s="6"/>
      <x:c r="V148" s="1"/>
    </x:row>
    <x:row r="149" spans="1:22" s="2" customFormat="1" ht="20.100000000000001" customHeight="1">
      <x:c r="A149" s="299"/>
      <x:c r="B149" s="3"/>
      <x:c r="C149" s="3"/>
      <x:c r="D149" s="4"/>
      <x:c r="E149" s="4"/>
      <x:c r="F149" s="5"/>
      <x:c r="G149" s="6"/>
      <x:c r="H149" s="299"/>
      <x:c r="I149" s="3"/>
      <x:c r="J149" s="3"/>
      <x:c r="K149" s="4"/>
      <x:c r="L149" s="4">
        <x:f t="shared" si="29"/>
        <x:v>0</x:v>
      </x:c>
      <x:c r="M149" s="5">
        <x:f t="shared" si="28"/>
        <x:v>0</x:v>
      </x:c>
      <x:c r="N149" s="6"/>
      <x:c r="V149" s="1"/>
    </x:row>
    <x:row r="150" spans="1:22" s="2" customFormat="1" ht="20.100000000000001" customHeight="1">
      <x:c r="A150" s="299"/>
      <x:c r="B150" s="3"/>
      <x:c r="C150" s="3"/>
      <x:c r="D150" s="4"/>
      <x:c r="E150" s="4"/>
      <x:c r="F150" s="5">
        <x:f t="shared" si="26"/>
        <x:v>0</x:v>
      </x:c>
      <x:c r="G150" s="6"/>
      <x:c r="H150" s="299"/>
      <x:c r="I150" s="3"/>
      <x:c r="J150" s="3"/>
      <x:c r="K150" s="4"/>
      <x:c r="L150" s="4">
        <x:f t="shared" si="29"/>
        <x:v>0</x:v>
      </x:c>
      <x:c r="M150" s="5">
        <x:f t="shared" si="28"/>
        <x:v>0</x:v>
      </x:c>
      <x:c r="N150" s="6"/>
      <x:c r="V150" s="1"/>
    </x:row>
    <x:row r="151" spans="1:22" s="2" customFormat="1" ht="20.100000000000001" customHeight="1">
      <x:c r="A151" s="300"/>
      <x:c r="B151" s="3"/>
      <x:c r="C151" s="3"/>
      <x:c r="D151" s="4"/>
      <x:c r="E151" s="4"/>
      <x:c r="F151" s="5"/>
      <x:c r="G151" s="6"/>
      <x:c r="H151" s="300"/>
      <x:c r="I151" s="3"/>
      <x:c r="J151" s="3"/>
      <x:c r="K151" s="4"/>
      <x:c r="L151" s="4">
        <x:f t="shared" si="29"/>
        <x:v>0</x:v>
      </x:c>
      <x:c r="M151" s="5">
        <x:f t="shared" si="28"/>
        <x:v>0</x:v>
      </x:c>
      <x:c r="N151" s="6"/>
      <x:c r="V151" s="1"/>
    </x:row>
    <x:row r="152" spans="1:22" s="2" customFormat="1" ht="20.100000000000001" customHeight="1">
      <x:c r="A152" s="7" t="s">
        <x:v>155</x:v>
      </x:c>
      <x:c r="B152" s="8"/>
      <x:c r="C152" s="8"/>
      <x:c r="D152" s="9">
        <x:f>SUM(D136:D151)</x:f>
        <x:v>0</x:v>
      </x:c>
      <x:c r="E152" s="9">
        <x:f>SUM(E136:E151)</x:f>
        <x:v>0</x:v>
      </x:c>
      <x:c r="F152" s="10">
        <x:f>SUM(F136:F151)</x:f>
        <x:v>0</x:v>
      </x:c>
      <x:c r="G152" s="11"/>
      <x:c r="H152" s="7"/>
      <x:c r="I152" s="8"/>
      <x:c r="J152" s="8"/>
      <x:c r="K152" s="9">
        <x:f>SUM(K136:K151)</x:f>
        <x:v>12015016</x:v>
      </x:c>
      <x:c r="L152" s="9">
        <x:f>SUM(L136:L151)</x:f>
        <x:v>1201501.6000000001</x:v>
      </x:c>
      <x:c r="M152" s="10">
        <x:f>SUM(M136:M151)</x:f>
        <x:v>13216517.6</x:v>
      </x:c>
      <x:c r="N152" s="11"/>
      <x:c r="V152" s="1"/>
    </x:row>
    <x:row r="153" spans="1:22" s="2" customFormat="1" ht="20.100000000000001" customHeight="1">
      <x:c r="A153" s="301" t="s">
        <x:v>153</x:v>
      </x:c>
      <x:c r="B153" s="3" t="s">
        <x:v>1241</x:v>
      </x:c>
      <x:c r="C153" s="3" t="s">
        <x:v>264</x:v>
      </x:c>
      <x:c r="D153" s="44"/>
      <x:c r="E153" s="44"/>
      <x:c r="F153" s="45">
        <x:f>+D153+E153</x:f>
        <x:v>0</x:v>
      </x:c>
      <x:c r="G153" s="180" t="s">
        <x:v>258</x:v>
      </x:c>
      <x:c r="H153" s="301" t="s">
        <x:v>153</x:v>
      </x:c>
      <x:c r="I153" s="3" t="s">
        <x:v>1677</x:v>
      </x:c>
      <x:c r="J153" s="3" t="s">
        <x:v>1083</x:v>
      </x:c>
      <x:c r="K153" s="4">
        <x:v>16370000</x:v>
      </x:c>
      <x:c r="L153" s="4"/>
      <x:c r="M153" s="5">
        <x:f>+K153+L153</x:f>
        <x:v>16370000</x:v>
      </x:c>
      <x:c r="N153" s="6"/>
      <x:c r="V153" s="1"/>
    </x:row>
    <x:row r="154" spans="1:22" s="2" customFormat="1" ht="20.100000000000001" customHeight="1">
      <x:c r="A154" s="299"/>
      <x:c r="B154" s="3"/>
      <x:c r="C154" s="3"/>
      <x:c r="D154" s="44"/>
      <x:c r="E154" s="44">
        <x:f>+D154*0.1</x:f>
        <x:v>0</x:v>
      </x:c>
      <x:c r="F154" s="45">
        <x:f>+D154+E154</x:f>
        <x:v>0</x:v>
      </x:c>
      <x:c r="G154" s="37"/>
      <x:c r="H154" s="299"/>
      <x:c r="I154" s="3"/>
      <x:c r="J154" s="3"/>
      <x:c r="K154" s="4"/>
      <x:c r="L154" s="4">
        <x:f>+K154*0.1</x:f>
        <x:v>0</x:v>
      </x:c>
      <x:c r="M154" s="5">
        <x:f>+K154+L154</x:f>
        <x:v>0</x:v>
      </x:c>
      <x:c r="N154" s="6"/>
      <x:c r="V154" s="1"/>
    </x:row>
    <x:row r="155" spans="1:22" s="2" customFormat="1" ht="20.100000000000001" customHeight="1">
      <x:c r="A155" s="299"/>
      <x:c r="B155" s="3"/>
      <x:c r="C155" s="3"/>
      <x:c r="D155" s="4"/>
      <x:c r="E155" s="4">
        <x:f>+D155*0.1</x:f>
        <x:v>0</x:v>
      </x:c>
      <x:c r="F155" s="5">
        <x:f>+D155+E155</x:f>
        <x:v>0</x:v>
      </x:c>
      <x:c r="G155" s="6"/>
      <x:c r="H155" s="299"/>
      <x:c r="I155" s="3"/>
      <x:c r="J155" s="3"/>
      <x:c r="K155" s="4"/>
      <x:c r="L155" s="4">
        <x:f>+K155*0.1</x:f>
        <x:v>0</x:v>
      </x:c>
      <x:c r="M155" s="5">
        <x:f>+K155+L155</x:f>
        <x:v>0</x:v>
      </x:c>
      <x:c r="N155" s="6"/>
      <x:c r="V155" s="1"/>
    </x:row>
    <x:row r="156" spans="1:22" s="2" customFormat="1" ht="20.100000000000001" customHeight="1">
      <x:c r="A156" s="300"/>
      <x:c r="B156" s="3"/>
      <x:c r="C156" s="3"/>
      <x:c r="D156" s="4"/>
      <x:c r="E156" s="4">
        <x:f>+D156*0.1</x:f>
        <x:v>0</x:v>
      </x:c>
      <x:c r="F156" s="5">
        <x:f>+D156+E156</x:f>
        <x:v>0</x:v>
      </x:c>
      <x:c r="G156" s="6"/>
      <x:c r="H156" s="300"/>
      <x:c r="I156" s="3"/>
      <x:c r="J156" s="3"/>
      <x:c r="K156" s="4"/>
      <x:c r="L156" s="4">
        <x:f>+K156*0.1</x:f>
        <x:v>0</x:v>
      </x:c>
      <x:c r="M156" s="5">
        <x:f>+K156+L156</x:f>
        <x:v>0</x:v>
      </x:c>
      <x:c r="N156" s="6"/>
      <x:c r="V156" s="1"/>
    </x:row>
    <x:row r="157" spans="1:22" s="2" customFormat="1" ht="20.100000000000001" customHeight="1">
      <x:c r="A157" s="7" t="s">
        <x:v>155</x:v>
      </x:c>
      <x:c r="B157" s="8"/>
      <x:c r="C157" s="8"/>
      <x:c r="D157" s="9">
        <x:f>SUM(D153:D156)</x:f>
        <x:v>0</x:v>
      </x:c>
      <x:c r="E157" s="9">
        <x:f>SUM(E153:E156)</x:f>
        <x:v>0</x:v>
      </x:c>
      <x:c r="F157" s="10">
        <x:f>SUM(F153:F156)</x:f>
        <x:v>0</x:v>
      </x:c>
      <x:c r="G157" s="11"/>
      <x:c r="H157" s="7"/>
      <x:c r="I157" s="8"/>
      <x:c r="J157" s="8"/>
      <x:c r="K157" s="9">
        <x:f>SUM(K153:K156)</x:f>
        <x:v>16370000</x:v>
      </x:c>
      <x:c r="L157" s="9">
        <x:f>SUM(L153:L156)</x:f>
        <x:v>0</x:v>
      </x:c>
      <x:c r="M157" s="10">
        <x:f>SUM(M153:M156)</x:f>
        <x:v>16370000</x:v>
      </x:c>
      <x:c r="N157" s="11"/>
      <x:c r="V157" s="1"/>
    </x:row>
    <x:row r="158" spans="1:22" s="2" customFormat="1" ht="20.100000000000001" customHeight="1">
      <x:c r="A158" s="301" t="s">
        <x:v>187</x:v>
      </x:c>
      <x:c r="B158" s="3" t="s">
        <x:v>484</x:v>
      </x:c>
      <x:c r="C158" s="3" t="s">
        <x:v>1373</x:v>
      </x:c>
      <x:c r="D158" s="4"/>
      <x:c r="E158" s="4">
        <x:f>+D158*0.1</x:f>
        <x:v>0</x:v>
      </x:c>
      <x:c r="F158" s="5">
        <x:f>+D158+E158</x:f>
        <x:v>0</x:v>
      </x:c>
      <x:c r="G158" s="180" t="s">
        <x:v>258</x:v>
      </x:c>
      <x:c r="H158" s="301" t="s">
        <x:v>187</x:v>
      </x:c>
      <x:c r="I158" s="3"/>
      <x:c r="J158" s="3"/>
      <x:c r="K158" s="4"/>
      <x:c r="L158" s="4">
        <x:f>+K158*0.1</x:f>
        <x:v>0</x:v>
      </x:c>
      <x:c r="M158" s="5">
        <x:f>+K158+L158</x:f>
        <x:v>0</x:v>
      </x:c>
      <x:c r="N158" s="6"/>
      <x:c r="V158" s="1"/>
    </x:row>
    <x:row r="159" spans="1:22" s="2" customFormat="1" ht="20.100000000000001" customHeight="1">
      <x:c r="A159" s="299"/>
      <x:c r="B159" s="3"/>
      <x:c r="C159" s="3"/>
      <x:c r="D159" s="4"/>
      <x:c r="E159" s="4"/>
      <x:c r="F159" s="5">
        <x:f>+D159+E159</x:f>
        <x:v>0</x:v>
      </x:c>
      <x:c r="G159" s="180"/>
      <x:c r="H159" s="299"/>
      <x:c r="I159" s="3"/>
      <x:c r="J159" s="3"/>
      <x:c r="K159" s="4"/>
      <x:c r="L159" s="4">
        <x:f>+K159*0.1</x:f>
        <x:v>0</x:v>
      </x:c>
      <x:c r="M159" s="5">
        <x:f>+K159+L159</x:f>
        <x:v>0</x:v>
      </x:c>
      <x:c r="N159" s="6"/>
      <x:c r="V159" s="1"/>
    </x:row>
    <x:row r="160" spans="1:22" s="2" customFormat="1" ht="20.100000000000001" customHeight="1">
      <x:c r="A160" s="299"/>
      <x:c r="B160" s="3"/>
      <x:c r="C160" s="3"/>
      <x:c r="D160" s="4"/>
      <x:c r="E160" s="4"/>
      <x:c r="F160" s="5">
        <x:f>+D160+E160</x:f>
        <x:v>0</x:v>
      </x:c>
      <x:c r="G160" s="180"/>
      <x:c r="H160" s="299"/>
      <x:c r="I160" s="3"/>
      <x:c r="J160" s="3"/>
      <x:c r="K160" s="4"/>
      <x:c r="L160" s="4">
        <x:f>+K160*0.1</x:f>
        <x:v>0</x:v>
      </x:c>
      <x:c r="M160" s="5">
        <x:f>+K160+L160</x:f>
        <x:v>0</x:v>
      </x:c>
      <x:c r="N160" s="6"/>
      <x:c r="V160" s="1"/>
    </x:row>
    <x:row r="161" spans="1:22" s="2" customFormat="1" ht="20.100000000000001" customHeight="1">
      <x:c r="A161" s="300"/>
      <x:c r="B161" s="3"/>
      <x:c r="C161" s="3"/>
      <x:c r="D161" s="4"/>
      <x:c r="E161" s="4"/>
      <x:c r="F161" s="5">
        <x:f>+D161+E161</x:f>
        <x:v>0</x:v>
      </x:c>
      <x:c r="G161" s="6"/>
      <x:c r="H161" s="300"/>
      <x:c r="I161" s="3"/>
      <x:c r="J161" s="3"/>
      <x:c r="K161" s="4"/>
      <x:c r="L161" s="4">
        <x:f>+K161*0.1</x:f>
        <x:v>0</x:v>
      </x:c>
      <x:c r="M161" s="5">
        <x:f>+K161+L161</x:f>
        <x:v>0</x:v>
      </x:c>
      <x:c r="N161" s="6"/>
      <x:c r="V161" s="1"/>
    </x:row>
    <x:row r="162" spans="1:22" s="2" customFormat="1" ht="20.100000000000001" customHeight="1">
      <x:c r="A162" s="7" t="s">
        <x:v>155</x:v>
      </x:c>
      <x:c r="B162" s="8"/>
      <x:c r="C162" s="8"/>
      <x:c r="D162" s="9">
        <x:f>SUM(D158:D161)</x:f>
        <x:v>0</x:v>
      </x:c>
      <x:c r="E162" s="9">
        <x:f>SUM(E158:E161)</x:f>
        <x:v>0</x:v>
      </x:c>
      <x:c r="F162" s="10">
        <x:f>SUM(F158:F161)</x:f>
        <x:v>0</x:v>
      </x:c>
      <x:c r="G162" s="11"/>
      <x:c r="H162" s="7"/>
      <x:c r="I162" s="8"/>
      <x:c r="J162" s="8"/>
      <x:c r="K162" s="9">
        <x:f>SUM(K158:K161)</x:f>
        <x:v>0</x:v>
      </x:c>
      <x:c r="L162" s="9">
        <x:f>SUM(L158:L161)</x:f>
        <x:v>0</x:v>
      </x:c>
      <x:c r="M162" s="10">
        <x:f>SUM(M158:M161)</x:f>
        <x:v>0</x:v>
      </x:c>
      <x:c r="N162" s="11"/>
      <x:c r="V162" s="1"/>
    </x:row>
    <x:row r="163" spans="1:22" s="2" customFormat="1" ht="20.100000000000001" customHeight="1">
      <x:c r="A163" s="301" t="s">
        <x:v>149</x:v>
      </x:c>
      <x:c r="B163" s="3" t="s">
        <x:v>1404</x:v>
      </x:c>
      <x:c r="C163" s="3" t="s">
        <x:v>887</x:v>
      </x:c>
      <x:c r="D163" s="4">
        <x:v>4460</x:v>
      </x:c>
      <x:c r="E163" s="4"/>
      <x:c r="F163" s="5">
        <x:f>+D163+E163</x:f>
        <x:v>4460</x:v>
      </x:c>
      <x:c r="G163" s="6" t="s">
        <x:v>489</x:v>
      </x:c>
      <x:c r="H163" s="301" t="s">
        <x:v>149</x:v>
      </x:c>
      <x:c r="I163" s="3" t="s">
        <x:v>169</x:v>
      </x:c>
      <x:c r="J163" s="3" t="s">
        <x:v>149</x:v>
      </x:c>
      <x:c r="K163" s="4">
        <x:v>1686780</x:v>
      </x:c>
      <x:c r="L163" s="4">
        <x:v>7000</x:v>
      </x:c>
      <x:c r="M163" s="5">
        <x:f t="shared" ref="M163:M170" si="30">+K163+L163</x:f>
        <x:v>1693780</x:v>
      </x:c>
      <x:c r="N163" s="6" t="s">
        <x:v>1518</x:v>
      </x:c>
      <x:c r="V163" s="1"/>
    </x:row>
    <x:row r="164" spans="1:22" s="2" customFormat="1" ht="20.100000000000001" customHeight="1">
      <x:c r="A164" s="299"/>
      <x:c r="B164" s="3"/>
      <x:c r="C164" s="3"/>
      <x:c r="D164" s="4"/>
      <x:c r="E164" s="4"/>
      <x:c r="F164" s="5">
        <x:f>+D164+E164</x:f>
        <x:v>0</x:v>
      </x:c>
      <x:c r="G164" s="6"/>
      <x:c r="H164" s="299"/>
      <x:c r="I164" s="3" t="s">
        <x:v>1481</x:v>
      </x:c>
      <x:c r="J164" s="3" t="s">
        <x:v>1356</x:v>
      </x:c>
      <x:c r="K164" s="4">
        <x:v>330000</x:v>
      </x:c>
      <x:c r="L164" s="4">
        <x:f>+K164*0.1</x:f>
        <x:v>33000</x:v>
      </x:c>
      <x:c r="M164" s="5">
        <x:f t="shared" si="30"/>
        <x:v>363000</x:v>
      </x:c>
      <x:c r="N164" s="6"/>
      <x:c r="V164" s="1"/>
    </x:row>
    <x:row r="165" spans="1:22" s="2" customFormat="1" ht="20.100000000000001" customHeight="1">
      <x:c r="A165" s="299"/>
      <x:c r="B165" s="3"/>
      <x:c r="C165" s="3"/>
      <x:c r="D165" s="4"/>
      <x:c r="E165" s="4"/>
      <x:c r="F165" s="5">
        <x:f>+D165+E165</x:f>
        <x:v>0</x:v>
      </x:c>
      <x:c r="G165" s="6"/>
      <x:c r="H165" s="299"/>
      <x:c r="I165" s="3" t="s">
        <x:v>261</x:v>
      </x:c>
      <x:c r="J165" s="3" t="s">
        <x:v>517</x:v>
      </x:c>
      <x:c r="K165" s="4">
        <x:v>500000</x:v>
      </x:c>
      <x:c r="L165" s="4"/>
      <x:c r="M165" s="5">
        <x:f t="shared" si="30"/>
        <x:v>500000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 t="shared" ref="F166:F172" si="31">+D166+E166</x:f>
        <x:v>0</x:v>
      </x:c>
      <x:c r="G166" s="6"/>
      <x:c r="H166" s="299"/>
      <x:c r="I166" s="3" t="s">
        <x:v>527</x:v>
      </x:c>
      <x:c r="J166" s="3" t="s">
        <x:v>914</x:v>
      </x:c>
      <x:c r="K166" s="4">
        <x:v>130000</x:v>
      </x:c>
      <x:c r="L166" s="4">
        <x:f>+K166*0.1</x:f>
        <x:v>13000</x:v>
      </x:c>
      <x:c r="M166" s="5">
        <x:f t="shared" si="30"/>
        <x:v>143000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 t="shared" si="31"/>
        <x:v>0</x:v>
      </x:c>
      <x:c r="G167" s="6"/>
      <x:c r="H167" s="299"/>
      <x:c r="I167" s="3" t="s">
        <x:v>247</x:v>
      </x:c>
      <x:c r="J167" s="3" t="s">
        <x:v>231</x:v>
      </x:c>
      <x:c r="K167" s="4">
        <x:f>46000+21000</x:f>
        <x:v>67000</x:v>
      </x:c>
      <x:c r="L167" s="4">
        <x:f>+K167*0.1</x:f>
        <x:v>6700</x:v>
      </x:c>
      <x:c r="M167" s="5">
        <x:f t="shared" si="30"/>
        <x:v>73700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 t="shared" si="31"/>
        <x:v>0</x:v>
      </x:c>
      <x:c r="G168" s="6"/>
      <x:c r="H168" s="299"/>
      <x:c r="I168" s="3" t="s">
        <x:v>1479</x:v>
      </x:c>
      <x:c r="J168" s="3" t="s">
        <x:v>520</x:v>
      </x:c>
      <x:c r="K168" s="4">
        <x:v>5000000</x:v>
      </x:c>
      <x:c r="L168" s="4">
        <x:f>+K168*0.1</x:f>
        <x:v>500000</x:v>
      </x:c>
      <x:c r="M168" s="5">
        <x:f t="shared" si="30"/>
        <x:v>5500000</x:v>
      </x:c>
      <x:c r="N168" s="6"/>
      <x:c r="V168" s="1"/>
    </x:row>
    <x:row r="169" spans="1:22" s="2" customFormat="1" ht="20.100000000000001" customHeight="1">
      <x:c r="A169" s="299"/>
      <x:c r="B169" s="3"/>
      <x:c r="C169" s="3"/>
      <x:c r="D169" s="4"/>
      <x:c r="E169" s="4"/>
      <x:c r="F169" s="5">
        <x:f t="shared" si="31"/>
        <x:v>0</x:v>
      </x:c>
      <x:c r="G169" s="6"/>
      <x:c r="H169" s="299"/>
      <x:c r="I169" s="3"/>
      <x:c r="J169" s="3"/>
      <x:c r="K169" s="4"/>
      <x:c r="L169" s="4">
        <x:f t="shared" ref="L169:L172" si="32">+K169*0.1</x:f>
        <x:v>0</x:v>
      </x:c>
      <x:c r="M169" s="5">
        <x:f t="shared" si="30"/>
        <x:v>0</x:v>
      </x:c>
      <x:c r="N169" s="6"/>
      <x:c r="V169" s="1"/>
    </x:row>
    <x:row r="170" spans="1:22" s="2" customFormat="1" ht="20.100000000000001" customHeight="1">
      <x:c r="A170" s="299"/>
      <x:c r="B170" s="3"/>
      <x:c r="C170" s="3"/>
      <x:c r="D170" s="4"/>
      <x:c r="E170" s="4"/>
      <x:c r="F170" s="5">
        <x:f t="shared" si="31"/>
        <x:v>0</x:v>
      </x:c>
      <x:c r="G170" s="6"/>
      <x:c r="H170" s="299"/>
      <x:c r="I170" s="3"/>
      <x:c r="J170" s="3"/>
      <x:c r="K170" s="4"/>
      <x:c r="L170" s="4">
        <x:f t="shared" si="32"/>
        <x:v>0</x:v>
      </x:c>
      <x:c r="M170" s="5">
        <x:f t="shared" si="30"/>
        <x:v>0</x:v>
      </x:c>
      <x:c r="N170" s="6"/>
      <x:c r="V170" s="1"/>
    </x:row>
    <x:row r="171" spans="1:22" s="2" customFormat="1" ht="20.100000000000001" customHeight="1">
      <x:c r="A171" s="299"/>
      <x:c r="B171" s="3"/>
      <x:c r="C171" s="3"/>
      <x:c r="D171" s="4"/>
      <x:c r="E171" s="4"/>
      <x:c r="F171" s="5">
        <x:f t="shared" si="31"/>
        <x:v>0</x:v>
      </x:c>
      <x:c r="G171" s="6"/>
      <x:c r="H171" s="299"/>
      <x:c r="I171" s="3"/>
      <x:c r="J171" s="3"/>
      <x:c r="K171" s="4"/>
      <x:c r="L171" s="4">
        <x:f t="shared" si="32"/>
        <x:v>0</x:v>
      </x:c>
      <x:c r="M171" s="5"/>
      <x:c r="N171" s="6"/>
      <x:c r="V171" s="1"/>
    </x:row>
    <x:row r="172" spans="1:22" s="2" customFormat="1" ht="20.100000000000001" customHeight="1">
      <x:c r="A172" s="300"/>
      <x:c r="B172" s="3"/>
      <x:c r="C172" s="3"/>
      <x:c r="D172" s="4"/>
      <x:c r="E172" s="4"/>
      <x:c r="F172" s="5">
        <x:f t="shared" si="31"/>
        <x:v>0</x:v>
      </x:c>
      <x:c r="G172" s="6"/>
      <x:c r="H172" s="300"/>
      <x:c r="I172" s="3"/>
      <x:c r="J172" s="3"/>
      <x:c r="K172" s="4"/>
      <x:c r="L172" s="4">
        <x:f t="shared" si="32"/>
        <x:v>0</x:v>
      </x:c>
      <x:c r="M172" s="5">
        <x:f>+K172+L172</x:f>
        <x:v>0</x:v>
      </x:c>
      <x:c r="N172" s="6"/>
      <x:c r="V172" s="1"/>
    </x:row>
    <x:row r="173" spans="1:22" s="2" customFormat="1" ht="20.100000000000001" customHeight="1">
      <x:c r="A173" s="7" t="s">
        <x:v>155</x:v>
      </x:c>
      <x:c r="B173" s="8"/>
      <x:c r="C173" s="8"/>
      <x:c r="D173" s="9">
        <x:f>SUM(D163:D172)</x:f>
        <x:v>4460</x:v>
      </x:c>
      <x:c r="E173" s="9">
        <x:f>SUM(E163:E172)</x:f>
        <x:v>0</x:v>
      </x:c>
      <x:c r="F173" s="10">
        <x:f>SUM(F163:F172)</x:f>
        <x:v>4460</x:v>
      </x:c>
      <x:c r="G173" s="11"/>
      <x:c r="H173" s="7"/>
      <x:c r="I173" s="8"/>
      <x:c r="J173" s="8"/>
      <x:c r="K173" s="9">
        <x:f>SUM(K163:K172)</x:f>
        <x:v>7713780</x:v>
      </x:c>
      <x:c r="L173" s="9">
        <x:f>SUM(L163:L172)</x:f>
        <x:v>559700</x:v>
      </x:c>
      <x:c r="M173" s="10">
        <x:f>SUM(M163:M172)</x:f>
        <x:v>8273480</x:v>
      </x:c>
      <x:c r="N173" s="11"/>
      <x:c r="V173" s="1"/>
    </x:row>
    <x:row r="174" spans="1:22" s="2" customFormat="1" ht="20.100000000000001" customHeight="1">
      <x:c r="A174" s="12" t="s">
        <x:v>1690</x:v>
      </x:c>
      <x:c r="B174" s="13"/>
      <x:c r="C174" s="13"/>
      <x:c r="D174" s="14">
        <x:f>+D152+D157+D162+D173</x:f>
        <x:v>4460</x:v>
      </x:c>
      <x:c r="E174" s="14">
        <x:f>+E152+E157+E162+E173</x:f>
        <x:v>0</x:v>
      </x:c>
      <x:c r="F174" s="15">
        <x:f>+F152+F157+F162+F173</x:f>
        <x:v>4460</x:v>
      </x:c>
      <x:c r="G174" s="16"/>
      <x:c r="H174" s="12"/>
      <x:c r="I174" s="13"/>
      <x:c r="J174" s="13"/>
      <x:c r="K174" s="14">
        <x:f>+K152+K157+K162+K173</x:f>
        <x:v>36098796</x:v>
      </x:c>
      <x:c r="L174" s="14">
        <x:f>+L152+L157+L162+L173</x:f>
        <x:v>1761201.6000000001</x:v>
      </x:c>
      <x:c r="M174" s="15">
        <x:f>+M152+M157+M162+M173</x:f>
        <x:v>37859997.600000001</x:v>
      </x:c>
      <x:c r="N174" s="16"/>
      <x:c r="V174" s="1"/>
    </x:row>
    <x:row r="175" spans="1:22" s="2" customFormat="1" ht="20.100000000000001" customHeight="1">
      <x:c r="A175" s="23" t="s">
        <x:v>35</x:v>
      </x:c>
      <x:c r="B175" s="24"/>
      <x:c r="C175" s="24"/>
      <x:c r="D175" s="25">
        <x:f>+D135-D174</x:f>
        <x:v>-4460</x:v>
      </x:c>
      <x:c r="E175" s="25">
        <x:f>+E135-E174</x:f>
        <x:v>0</x:v>
      </x:c>
      <x:c r="F175" s="26">
        <x:f>+F135-F174</x:f>
        <x:v>-4460</x:v>
      </x:c>
      <x:c r="G175" s="27"/>
      <x:c r="H175" s="23"/>
      <x:c r="I175" s="24"/>
      <x:c r="J175" s="24"/>
      <x:c r="K175" s="25">
        <x:f>+K135-K174</x:f>
        <x:v>-36098796</x:v>
      </x:c>
      <x:c r="L175" s="25">
        <x:f>+L135-L174</x:f>
        <x:v>-1761201.6000000001</x:v>
      </x:c>
      <x:c r="M175" s="26">
        <x:f>+M135-M174</x:f>
        <x:v>-37859997.600000001</x:v>
      </x:c>
      <x:c r="N175" s="27"/>
      <x:c r="V175" s="1"/>
    </x:row>
    <x:row r="176" spans="1:22" s="2" customFormat="1" ht="20.100000000000001" customHeight="1">
      <x:c r="A176" s="302" t="s">
        <x:v>450</x:v>
      </x:c>
      <x:c r="B176" s="303"/>
      <x:c r="C176" s="303"/>
      <x:c r="D176" s="303"/>
      <x:c r="E176" s="303"/>
      <x:c r="F176" s="304"/>
      <x:c r="G176" s="305"/>
      <x:c r="H176" s="302" t="s">
        <x:v>438</x:v>
      </x:c>
      <x:c r="I176" s="303"/>
      <x:c r="J176" s="303"/>
      <x:c r="K176" s="303"/>
      <x:c r="L176" s="303"/>
      <x:c r="M176" s="304"/>
      <x:c r="N176" s="305"/>
      <x:c r="V176" s="1"/>
    </x:row>
    <x:row r="177" spans="1:22" s="2" customFormat="1" ht="20.100000000000001" customHeight="1">
      <x:c r="A177" s="29" t="s">
        <x:v>147</x:v>
      </x:c>
      <x:c r="B177" s="220" t="s">
        <x:v>144</x:v>
      </x:c>
      <x:c r="C177" s="220" t="s">
        <x:v>150</x:v>
      </x:c>
      <x:c r="D177" s="31" t="s">
        <x:v>145</x:v>
      </x:c>
      <x:c r="E177" s="31" t="s">
        <x:v>152</x:v>
      </x:c>
      <x:c r="F177" s="32" t="s">
        <x:v>146</x:v>
      </x:c>
      <x:c r="G177" s="33" t="s">
        <x:v>154</x:v>
      </x:c>
      <x:c r="H177" s="29" t="s">
        <x:v>147</x:v>
      </x:c>
      <x:c r="I177" s="220" t="s">
        <x:v>144</x:v>
      </x:c>
      <x:c r="J177" s="220" t="s">
        <x:v>150</x:v>
      </x:c>
      <x:c r="K177" s="31" t="s">
        <x:v>145</x:v>
      </x:c>
      <x:c r="L177" s="31" t="s">
        <x:v>152</x:v>
      </x:c>
      <x:c r="M177" s="31" t="s">
        <x:v>146</x:v>
      </x:c>
      <x:c r="N177" s="34" t="s">
        <x:v>154</x:v>
      </x:c>
      <x:c r="V177" s="1"/>
    </x:row>
    <x:row r="178" spans="1:22" s="2" customFormat="1" ht="20.100000000000001" customHeight="1">
      <x:c r="A178" s="219" t="s">
        <x:v>151</x:v>
      </x:c>
      <x:c r="B178" s="38" t="s">
        <x:v>1679</x:v>
      </x:c>
      <x:c r="C178" s="38" t="s">
        <x:v>156</x:v>
      </x:c>
      <x:c r="D178" s="39">
        <x:v>14600000</x:v>
      </x:c>
      <x:c r="E178" s="39">
        <x:f>D178*0.1</x:f>
        <x:v>1460000</x:v>
      </x:c>
      <x:c r="F178" s="40">
        <x:f t="shared" ref="F178:F191" si="33">+D178+E178</x:f>
        <x:v>16060000</x:v>
      </x:c>
      <x:c r="G178" s="18"/>
      <x:c r="H178" s="41" t="s">
        <x:v>151</x:v>
      </x:c>
      <x:c r="I178" s="38" t="s">
        <x:v>1679</x:v>
      </x:c>
      <x:c r="J178" s="38"/>
      <x:c r="K178" s="39"/>
      <x:c r="L178" s="39"/>
      <x:c r="M178" s="40">
        <x:f>+K178+L178</x:f>
        <x:v>0</x:v>
      </x:c>
      <x:c r="N178" s="42"/>
      <x:c r="V178" s="1"/>
    </x:row>
    <x:row r="179" spans="1:22" s="2" customFormat="1" ht="20.100000000000001" customHeight="1">
      <x:c r="A179" s="298" t="s">
        <x:v>148</x:v>
      </x:c>
      <x:c r="B179" s="54" t="s">
        <x:v>846</x:v>
      </x:c>
      <x:c r="C179" s="54" t="s">
        <x:v>1506</x:v>
      </x:c>
      <x:c r="D179" s="93">
        <x:v>590000</x:v>
      </x:c>
      <x:c r="E179" s="93">
        <x:f t="shared" ref="E179:E191" si="34">+INT(D179*0.1)</x:f>
        <x:v>59000</x:v>
      </x:c>
      <x:c r="F179" s="94">
        <x:f t="shared" si="33"/>
        <x:v>649000</x:v>
      </x:c>
      <x:c r="G179" s="95"/>
      <x:c r="H179" s="298" t="s">
        <x:v>148</x:v>
      </x:c>
      <x:c r="I179" s="19" t="s">
        <x:v>1498</x:v>
      </x:c>
      <x:c r="J179" s="19" t="s">
        <x:v>1501</x:v>
      </x:c>
      <x:c r="K179" s="20">
        <x:v>5132650</x:v>
      </x:c>
      <x:c r="L179" s="20">
        <x:f>+K179*0.1</x:f>
        <x:v>513265</x:v>
      </x:c>
      <x:c r="M179" s="21">
        <x:f t="shared" ref="M179:M186" si="35">+K179+L179</x:f>
        <x:v>5645915</x:v>
      </x:c>
      <x:c r="N179" s="22"/>
      <x:c r="V179" s="1"/>
    </x:row>
    <x:row r="180" spans="1:22" s="2" customFormat="1" ht="20.100000000000001" customHeight="1">
      <x:c r="A180" s="299"/>
      <x:c r="B180" s="162" t="s">
        <x:v>1378</x:v>
      </x:c>
      <x:c r="C180" s="162" t="s">
        <x:v>1547</x:v>
      </x:c>
      <x:c r="D180" s="163">
        <x:v>78000</x:v>
      </x:c>
      <x:c r="E180" s="4">
        <x:f t="shared" si="34"/>
        <x:v>7800</x:v>
      </x:c>
      <x:c r="F180" s="193">
        <x:f t="shared" si="33"/>
        <x:v>85800</x:v>
      </x:c>
      <x:c r="G180" s="180"/>
      <x:c r="H180" s="299"/>
      <x:c r="I180" s="3" t="s">
        <x:v>1541</x:v>
      </x:c>
      <x:c r="J180" s="3" t="s">
        <x:v>1207</x:v>
      </x:c>
      <x:c r="K180" s="4">
        <x:v>184000</x:v>
      </x:c>
      <x:c r="L180" s="4">
        <x:f>K180*0.1</x:f>
        <x:v>18400</x:v>
      </x:c>
      <x:c r="M180" s="5">
        <x:f t="shared" si="35"/>
        <x:v>202400</x:v>
      </x:c>
      <x:c r="N180" s="6"/>
      <x:c r="V180" s="1"/>
    </x:row>
    <x:row r="181" spans="1:22" s="2" customFormat="1" ht="20.100000000000001" customHeight="1">
      <x:c r="A181" s="299"/>
      <x:c r="B181" s="3" t="s">
        <x:v>1538</x:v>
      </x:c>
      <x:c r="C181" s="3" t="s">
        <x:v>1524</x:v>
      </x:c>
      <x:c r="D181" s="4">
        <x:v>140000</x:v>
      </x:c>
      <x:c r="E181" s="4">
        <x:f t="shared" si="34"/>
        <x:v>14000</x:v>
      </x:c>
      <x:c r="F181" s="194">
        <x:f t="shared" si="33"/>
        <x:v>154000</x:v>
      </x:c>
      <x:c r="G181" s="180"/>
      <x:c r="H181" s="299"/>
      <x:c r="I181" s="3"/>
      <x:c r="J181" s="3"/>
      <x:c r="K181" s="4"/>
      <x:c r="L181" s="4">
        <x:f>+K181*0.1</x:f>
        <x:v>0</x:v>
      </x:c>
      <x:c r="M181" s="5">
        <x:f t="shared" si="35"/>
        <x:v>0</x:v>
      </x:c>
      <x:c r="N181" s="6"/>
      <x:c r="V181" s="1"/>
    </x:row>
    <x:row r="182" spans="1:22" s="2" customFormat="1" ht="20.100000000000001" customHeight="1">
      <x:c r="A182" s="299"/>
      <x:c r="B182" s="3" t="s">
        <x:v>938</x:v>
      </x:c>
      <x:c r="C182" s="3" t="s">
        <x:v>236</x:v>
      </x:c>
      <x:c r="D182" s="4">
        <x:v>110000</x:v>
      </x:c>
      <x:c r="E182" s="4">
        <x:f t="shared" si="34"/>
        <x:v>11000</x:v>
      </x:c>
      <x:c r="F182" s="194">
        <x:f t="shared" si="33"/>
        <x:v>121000</x:v>
      </x:c>
      <x:c r="G182" s="180"/>
      <x:c r="H182" s="299"/>
      <x:c r="I182" s="3"/>
      <x:c r="J182" s="3"/>
      <x:c r="K182" s="4"/>
      <x:c r="L182" s="4">
        <x:f>+K182*0.1</x:f>
        <x:v>0</x:v>
      </x:c>
      <x:c r="M182" s="5">
        <x:f t="shared" si="35"/>
        <x:v>0</x:v>
      </x:c>
      <x:c r="N182" s="6"/>
      <x:c r="V182" s="1"/>
    </x:row>
    <x:row r="183" spans="1:22" s="2" customFormat="1" ht="20.100000000000001" customHeight="1">
      <x:c r="A183" s="299"/>
      <x:c r="B183" s="3"/>
      <x:c r="C183" s="3"/>
      <x:c r="D183" s="4"/>
      <x:c r="E183" s="4">
        <x:f t="shared" si="34"/>
        <x:v>0</x:v>
      </x:c>
      <x:c r="F183" s="194">
        <x:f t="shared" si="33"/>
        <x:v>0</x:v>
      </x:c>
      <x:c r="G183" s="180"/>
      <x:c r="H183" s="299"/>
      <x:c r="I183" s="3"/>
      <x:c r="J183" s="3"/>
      <x:c r="K183" s="4"/>
      <x:c r="L183" s="4">
        <x:f>+K183*0.1</x:f>
        <x:v>0</x:v>
      </x:c>
      <x:c r="M183" s="5">
        <x:f t="shared" si="35"/>
        <x:v>0</x:v>
      </x:c>
      <x:c r="N183" s="6"/>
      <x:c r="V183" s="1"/>
    </x:row>
    <x:row r="184" spans="1:22" s="2" customFormat="1" ht="20.100000000000001" customHeight="1">
      <x:c r="A184" s="299"/>
      <x:c r="B184" s="3"/>
      <x:c r="C184" s="3"/>
      <x:c r="D184" s="4"/>
      <x:c r="E184" s="4">
        <x:f t="shared" si="34"/>
        <x:v>0</x:v>
      </x:c>
      <x:c r="F184" s="194">
        <x:f t="shared" si="33"/>
        <x:v>0</x:v>
      </x:c>
      <x:c r="G184" s="180"/>
      <x:c r="H184" s="299"/>
      <x:c r="I184" s="3"/>
      <x:c r="J184" s="3"/>
      <x:c r="K184" s="4"/>
      <x:c r="L184" s="4">
        <x:f t="shared" ref="L184:L186" si="36">+K184*0.1</x:f>
        <x:v>0</x:v>
      </x:c>
      <x:c r="M184" s="5">
        <x:f t="shared" si="35"/>
        <x:v>0</x:v>
      </x:c>
      <x:c r="N184" s="6"/>
      <x:c r="V184" s="1"/>
    </x:row>
    <x:row r="185" spans="1:22" s="2" customFormat="1" ht="20.100000000000001" customHeight="1">
      <x:c r="A185" s="299"/>
      <x:c r="B185" s="3"/>
      <x:c r="C185" s="3"/>
      <x:c r="D185" s="4"/>
      <x:c r="E185" s="4">
        <x:f t="shared" si="34"/>
        <x:v>0</x:v>
      </x:c>
      <x:c r="F185" s="194">
        <x:f t="shared" si="33"/>
        <x:v>0</x:v>
      </x:c>
      <x:c r="G185" s="6"/>
      <x:c r="H185" s="299"/>
      <x:c r="I185" s="3"/>
      <x:c r="J185" s="3"/>
      <x:c r="K185" s="4"/>
      <x:c r="L185" s="4">
        <x:f t="shared" si="36"/>
        <x:v>0</x:v>
      </x:c>
      <x:c r="M185" s="5">
        <x:f t="shared" si="35"/>
        <x:v>0</x:v>
      </x:c>
      <x:c r="N185" s="6"/>
      <x:c r="V185" s="1"/>
    </x:row>
    <x:row r="186" spans="1:22" s="2" customFormat="1" ht="20.100000000000001" customHeight="1">
      <x:c r="A186" s="299"/>
      <x:c r="B186" s="3"/>
      <x:c r="C186" s="3"/>
      <x:c r="D186" s="4"/>
      <x:c r="E186" s="4">
        <x:f t="shared" si="34"/>
        <x:v>0</x:v>
      </x:c>
      <x:c r="F186" s="194">
        <x:f t="shared" si="33"/>
        <x:v>0</x:v>
      </x:c>
      <x:c r="G186" s="180"/>
      <x:c r="H186" s="299"/>
      <x:c r="I186" s="3"/>
      <x:c r="J186" s="3"/>
      <x:c r="K186" s="4"/>
      <x:c r="L186" s="4">
        <x:f t="shared" si="36"/>
        <x:v>0</x:v>
      </x:c>
      <x:c r="M186" s="5">
        <x:f t="shared" si="35"/>
        <x:v>0</x:v>
      </x:c>
      <x:c r="N186" s="6"/>
      <x:c r="V186" s="1"/>
    </x:row>
    <x:row r="187" spans="1:22" s="2" customFormat="1" ht="20.100000000000001" customHeight="1">
      <x:c r="A187" s="299"/>
      <x:c r="B187" s="3"/>
      <x:c r="C187" s="3"/>
      <x:c r="D187" s="4"/>
      <x:c r="E187" s="4">
        <x:f t="shared" si="34"/>
        <x:v>0</x:v>
      </x:c>
      <x:c r="F187" s="194">
        <x:f t="shared" si="33"/>
        <x:v>0</x:v>
      </x:c>
      <x:c r="G187" s="180"/>
      <x:c r="H187" s="299"/>
      <x:c r="I187" s="3"/>
      <x:c r="J187" s="3"/>
      <x:c r="K187" s="4"/>
      <x:c r="L187" s="4"/>
      <x:c r="M187" s="5"/>
      <x:c r="N187" s="6"/>
      <x:c r="V187" s="1"/>
    </x:row>
    <x:row r="188" spans="1:22" s="2" customFormat="1" ht="20.100000000000001" customHeight="1">
      <x:c r="A188" s="299"/>
      <x:c r="B188" s="3"/>
      <x:c r="C188" s="3"/>
      <x:c r="D188" s="4"/>
      <x:c r="E188" s="4">
        <x:f t="shared" si="34"/>
        <x:v>0</x:v>
      </x:c>
      <x:c r="F188" s="194">
        <x:f t="shared" si="33"/>
        <x:v>0</x:v>
      </x:c>
      <x:c r="G188" s="180"/>
      <x:c r="H188" s="299"/>
      <x:c r="I188" s="3"/>
      <x:c r="J188" s="3"/>
      <x:c r="K188" s="4"/>
      <x:c r="L188" s="4">
        <x:f t="shared" ref="L188:L194" si="37">+K188*0.1</x:f>
        <x:v>0</x:v>
      </x:c>
      <x:c r="M188" s="5">
        <x:f t="shared" ref="M188:M194" si="38">+K188+L188</x:f>
        <x:v>0</x:v>
      </x:c>
      <x:c r="N188" s="6"/>
      <x:c r="V188" s="1"/>
    </x:row>
    <x:row r="189" spans="1:22" s="2" customFormat="1" ht="20.100000000000001" customHeight="1">
      <x:c r="A189" s="299"/>
      <x:c r="B189" s="3"/>
      <x:c r="C189" s="3"/>
      <x:c r="D189" s="4"/>
      <x:c r="E189" s="4">
        <x:f t="shared" si="34"/>
        <x:v>0</x:v>
      </x:c>
      <x:c r="F189" s="194">
        <x:f t="shared" si="33"/>
        <x:v>0</x:v>
      </x:c>
      <x:c r="G189" s="6"/>
      <x:c r="H189" s="299"/>
      <x:c r="I189" s="3"/>
      <x:c r="J189" s="3"/>
      <x:c r="K189" s="4"/>
      <x:c r="L189" s="4">
        <x:f t="shared" si="37"/>
        <x:v>0</x:v>
      </x:c>
      <x:c r="M189" s="5">
        <x:f t="shared" si="38"/>
        <x:v>0</x:v>
      </x:c>
      <x:c r="N189" s="6"/>
      <x:c r="V189" s="1"/>
    </x:row>
    <x:row r="190" spans="1:22" s="2" customFormat="1" ht="20.100000000000001" customHeight="1">
      <x:c r="A190" s="299"/>
      <x:c r="B190" s="3"/>
      <x:c r="C190" s="3"/>
      <x:c r="D190" s="4"/>
      <x:c r="E190" s="4">
        <x:f t="shared" si="34"/>
        <x:v>0</x:v>
      </x:c>
      <x:c r="F190" s="5">
        <x:f t="shared" si="33"/>
        <x:v>0</x:v>
      </x:c>
      <x:c r="G190" s="6"/>
      <x:c r="H190" s="299"/>
      <x:c r="I190" s="3"/>
      <x:c r="J190" s="3"/>
      <x:c r="K190" s="4"/>
      <x:c r="L190" s="4">
        <x:f t="shared" si="37"/>
        <x:v>0</x:v>
      </x:c>
      <x:c r="M190" s="5">
        <x:f t="shared" si="38"/>
        <x:v>0</x:v>
      </x:c>
      <x:c r="N190" s="6"/>
      <x:c r="V190" s="1"/>
    </x:row>
    <x:row r="191" spans="1:22" s="2" customFormat="1" ht="20.100000000000001" customHeight="1">
      <x:c r="A191" s="299"/>
      <x:c r="B191" s="3"/>
      <x:c r="C191" s="3"/>
      <x:c r="D191" s="4"/>
      <x:c r="E191" s="4">
        <x:f t="shared" si="34"/>
        <x:v>0</x:v>
      </x:c>
      <x:c r="F191" s="5">
        <x:f t="shared" si="33"/>
        <x:v>0</x:v>
      </x:c>
      <x:c r="G191" s="6"/>
      <x:c r="H191" s="299"/>
      <x:c r="I191" s="3"/>
      <x:c r="J191" s="3"/>
      <x:c r="K191" s="4"/>
      <x:c r="L191" s="4">
        <x:f t="shared" si="37"/>
        <x:v>0</x:v>
      </x:c>
      <x:c r="M191" s="5">
        <x:f t="shared" si="38"/>
        <x:v>0</x:v>
      </x:c>
      <x:c r="N191" s="6"/>
      <x:c r="V191" s="1"/>
    </x:row>
    <x:row r="192" spans="1:22" s="2" customFormat="1" ht="20.100000000000001" customHeight="1">
      <x:c r="A192" s="299"/>
      <x:c r="B192" s="3"/>
      <x:c r="C192" s="3"/>
      <x:c r="D192" s="4"/>
      <x:c r="E192" s="4"/>
      <x:c r="F192" s="5"/>
      <x:c r="G192" s="6"/>
      <x:c r="H192" s="299"/>
      <x:c r="I192" s="3"/>
      <x:c r="J192" s="3"/>
      <x:c r="K192" s="4"/>
      <x:c r="L192" s="4">
        <x:f t="shared" si="37"/>
        <x:v>0</x:v>
      </x:c>
      <x:c r="M192" s="5">
        <x:f t="shared" si="38"/>
        <x:v>0</x:v>
      </x:c>
      <x:c r="N192" s="6"/>
      <x:c r="V192" s="1"/>
    </x:row>
    <x:row r="193" spans="1:22" s="2" customFormat="1" ht="20.100000000000001" customHeight="1">
      <x:c r="A193" s="299"/>
      <x:c r="B193" s="3"/>
      <x:c r="C193" s="3"/>
      <x:c r="D193" s="4"/>
      <x:c r="E193" s="4"/>
      <x:c r="F193" s="5">
        <x:f>+D193+E193</x:f>
        <x:v>0</x:v>
      </x:c>
      <x:c r="G193" s="6"/>
      <x:c r="H193" s="299"/>
      <x:c r="I193" s="3"/>
      <x:c r="J193" s="3"/>
      <x:c r="K193" s="4"/>
      <x:c r="L193" s="4">
        <x:f t="shared" si="37"/>
        <x:v>0</x:v>
      </x:c>
      <x:c r="M193" s="5">
        <x:f t="shared" si="38"/>
        <x:v>0</x:v>
      </x:c>
      <x:c r="N193" s="6"/>
      <x:c r="V193" s="1"/>
    </x:row>
    <x:row r="194" spans="1:22" s="2" customFormat="1" ht="20.100000000000001" customHeight="1">
      <x:c r="A194" s="300"/>
      <x:c r="B194" s="3"/>
      <x:c r="C194" s="3"/>
      <x:c r="D194" s="4"/>
      <x:c r="E194" s="4"/>
      <x:c r="F194" s="5"/>
      <x:c r="G194" s="6"/>
      <x:c r="H194" s="300"/>
      <x:c r="I194" s="3"/>
      <x:c r="J194" s="3"/>
      <x:c r="K194" s="4"/>
      <x:c r="L194" s="4">
        <x:f t="shared" si="37"/>
        <x:v>0</x:v>
      </x:c>
      <x:c r="M194" s="5">
        <x:f t="shared" si="38"/>
        <x:v>0</x:v>
      </x:c>
      <x:c r="N194" s="6"/>
      <x:c r="V194" s="1"/>
    </x:row>
    <x:row r="195" spans="1:22" s="2" customFormat="1" ht="20.100000000000001" customHeight="1">
      <x:c r="A195" s="7" t="s">
        <x:v>155</x:v>
      </x:c>
      <x:c r="B195" s="8"/>
      <x:c r="C195" s="8"/>
      <x:c r="D195" s="9">
        <x:f>SUM(D179:D194)</x:f>
        <x:v>918000</x:v>
      </x:c>
      <x:c r="E195" s="9">
        <x:f>SUM(E179:E194)</x:f>
        <x:v>91800</x:v>
      </x:c>
      <x:c r="F195" s="10">
        <x:f>SUM(F179:F194)</x:f>
        <x:v>1009800</x:v>
      </x:c>
      <x:c r="G195" s="11"/>
      <x:c r="H195" s="7"/>
      <x:c r="I195" s="8"/>
      <x:c r="J195" s="8"/>
      <x:c r="K195" s="9">
        <x:f>SUM(K179:K194)</x:f>
        <x:v>5316650</x:v>
      </x:c>
      <x:c r="L195" s="9">
        <x:f>SUM(L179:L194)</x:f>
        <x:v>531665</x:v>
      </x:c>
      <x:c r="M195" s="10">
        <x:f>SUM(M179:M194)</x:f>
        <x:v>5848315</x:v>
      </x:c>
      <x:c r="N195" s="11"/>
      <x:c r="V195" s="1"/>
    </x:row>
    <x:row r="196" spans="1:22" s="2" customFormat="1" ht="20.100000000000001" customHeight="1">
      <x:c r="A196" s="301" t="s">
        <x:v>153</x:v>
      </x:c>
      <x:c r="B196" s="3" t="s">
        <x:v>1514</x:v>
      </x:c>
      <x:c r="C196" s="3" t="s">
        <x:v>308</x:v>
      </x:c>
      <x:c r="D196" s="44">
        <x:v>4800000</x:v>
      </x:c>
      <x:c r="E196" s="44">
        <x:f>+D196*0.1</x:f>
        <x:v>480000</x:v>
      </x:c>
      <x:c r="F196" s="45">
        <x:f>+D196+E196</x:f>
        <x:v>5280000</x:v>
      </x:c>
      <x:c r="G196" s="180" t="s">
        <x:v>1540</x:v>
      </x:c>
      <x:c r="H196" s="301" t="s">
        <x:v>153</x:v>
      </x:c>
      <x:c r="I196" s="3" t="s">
        <x:v>1677</x:v>
      </x:c>
      <x:c r="J196" s="3" t="s">
        <x:v>1494</x:v>
      </x:c>
      <x:c r="K196" s="4">
        <x:v>840000</x:v>
      </x:c>
      <x:c r="L196" s="4"/>
      <x:c r="M196" s="5">
        <x:f>+K196+L196</x:f>
        <x:v>840000</x:v>
      </x:c>
      <x:c r="N196" s="6"/>
      <x:c r="V196" s="1"/>
    </x:row>
    <x:row r="197" spans="1:22" s="2" customFormat="1" ht="20.100000000000001" customHeight="1">
      <x:c r="A197" s="299"/>
      <x:c r="B197" s="3" t="s">
        <x:v>1677</x:v>
      </x:c>
      <x:c r="C197" s="3" t="s">
        <x:v>1519</x:v>
      </x:c>
      <x:c r="D197" s="44">
        <x:f>17*210000</x:f>
        <x:v>3570000</x:v>
      </x:c>
      <x:c r="E197" s="44"/>
      <x:c r="F197" s="45">
        <x:f>+D197+E197</x:f>
        <x:v>3570000</x:v>
      </x:c>
      <x:c r="G197" s="37" t="s">
        <x:v>1535</x:v>
      </x:c>
      <x:c r="H197" s="299"/>
      <x:c r="I197" s="3"/>
      <x:c r="J197" s="3"/>
      <x:c r="K197" s="4"/>
      <x:c r="L197" s="4">
        <x:f>+K197*0.1</x:f>
        <x:v>0</x:v>
      </x:c>
      <x:c r="M197" s="5">
        <x:f>+K197+L197</x:f>
        <x:v>0</x:v>
      </x:c>
      <x:c r="N197" s="6"/>
      <x:c r="V197" s="1"/>
    </x:row>
    <x:row r="198" spans="1:22" s="2" customFormat="1" ht="20.100000000000001" customHeight="1">
      <x:c r="A198" s="299"/>
      <x:c r="B198" s="3"/>
      <x:c r="C198" s="3"/>
      <x:c r="D198" s="4"/>
      <x:c r="E198" s="4">
        <x:f>+D198*0.1</x:f>
        <x:v>0</x:v>
      </x:c>
      <x:c r="F198" s="5">
        <x:f>+D198+E198</x:f>
        <x:v>0</x:v>
      </x:c>
      <x:c r="G198" s="6"/>
      <x:c r="H198" s="299"/>
      <x:c r="I198" s="3"/>
      <x:c r="J198" s="3"/>
      <x:c r="K198" s="4"/>
      <x:c r="L198" s="4">
        <x:f>+K198*0.1</x:f>
        <x:v>0</x:v>
      </x:c>
      <x:c r="M198" s="5">
        <x:f>+K198+L198</x:f>
        <x:v>0</x:v>
      </x:c>
      <x:c r="N198" s="6"/>
      <x:c r="V198" s="1"/>
    </x:row>
    <x:row r="199" spans="1:22" s="2" customFormat="1" ht="20.100000000000001" customHeight="1">
      <x:c r="A199" s="300"/>
      <x:c r="B199" s="3"/>
      <x:c r="C199" s="3"/>
      <x:c r="D199" s="4"/>
      <x:c r="E199" s="4">
        <x:f>+D199*0.1</x:f>
        <x:v>0</x:v>
      </x:c>
      <x:c r="F199" s="5">
        <x:f>+D199+E199</x:f>
        <x:v>0</x:v>
      </x:c>
      <x:c r="G199" s="6"/>
      <x:c r="H199" s="300"/>
      <x:c r="I199" s="3"/>
      <x:c r="J199" s="3"/>
      <x:c r="K199" s="4"/>
      <x:c r="L199" s="4">
        <x:f>+K199*0.1</x:f>
        <x:v>0</x:v>
      </x:c>
      <x:c r="M199" s="5">
        <x:f>+K199+L199</x:f>
        <x:v>0</x:v>
      </x:c>
      <x:c r="N199" s="6"/>
      <x:c r="V199" s="1"/>
    </x:row>
    <x:row r="200" spans="1:22" s="2" customFormat="1" ht="20.100000000000001" customHeight="1">
      <x:c r="A200" s="7" t="s">
        <x:v>155</x:v>
      </x:c>
      <x:c r="B200" s="8"/>
      <x:c r="C200" s="8"/>
      <x:c r="D200" s="9">
        <x:f>SUM(D196:D199)</x:f>
        <x:v>8370000</x:v>
      </x:c>
      <x:c r="E200" s="9">
        <x:f>SUM(E196:E199)</x:f>
        <x:v>480000</x:v>
      </x:c>
      <x:c r="F200" s="10">
        <x:f>SUM(F196:F199)</x:f>
        <x:v>8850000</x:v>
      </x:c>
      <x:c r="G200" s="11"/>
      <x:c r="H200" s="7"/>
      <x:c r="I200" s="8"/>
      <x:c r="J200" s="8"/>
      <x:c r="K200" s="9">
        <x:f>SUM(K196:K199)</x:f>
        <x:v>840000</x:v>
      </x:c>
      <x:c r="L200" s="9">
        <x:f>SUM(L196:L199)</x:f>
        <x:v>0</x:v>
      </x:c>
      <x:c r="M200" s="10">
        <x:f>SUM(M196:M199)</x:f>
        <x:v>840000</x:v>
      </x:c>
      <x:c r="N200" s="11"/>
      <x:c r="V200" s="1"/>
    </x:row>
    <x:row r="201" spans="1:22" s="2" customFormat="1" ht="20.100000000000001" customHeight="1">
      <x:c r="A201" s="301" t="s">
        <x:v>187</x:v>
      </x:c>
      <x:c r="B201" s="3"/>
      <x:c r="C201" s="3"/>
      <x:c r="D201" s="4"/>
      <x:c r="E201" s="4">
        <x:f>+D201*0.1</x:f>
        <x:v>0</x:v>
      </x:c>
      <x:c r="F201" s="5">
        <x:f>+D201+E201</x:f>
        <x:v>0</x:v>
      </x:c>
      <x:c r="G201" s="180"/>
      <x:c r="H201" s="301" t="s">
        <x:v>187</x:v>
      </x:c>
      <x:c r="I201" s="3"/>
      <x:c r="J201" s="3"/>
      <x:c r="K201" s="4"/>
      <x:c r="L201" s="4">
        <x:f>+K201*0.1</x:f>
        <x:v>0</x:v>
      </x:c>
      <x:c r="M201" s="5">
        <x:f>+K201+L201</x:f>
        <x:v>0</x:v>
      </x:c>
      <x:c r="N201" s="6"/>
      <x:c r="V201" s="1"/>
    </x:row>
    <x:row r="202" spans="1:22" s="2" customFormat="1" ht="20.100000000000001" customHeight="1">
      <x:c r="A202" s="299"/>
      <x:c r="B202" s="3"/>
      <x:c r="C202" s="3"/>
      <x:c r="D202" s="4"/>
      <x:c r="E202" s="4"/>
      <x:c r="F202" s="5">
        <x:f>+D202+E202</x:f>
        <x:v>0</x:v>
      </x:c>
      <x:c r="G202" s="180"/>
      <x:c r="H202" s="299"/>
      <x:c r="I202" s="3"/>
      <x:c r="J202" s="3"/>
      <x:c r="K202" s="4"/>
      <x:c r="L202" s="4">
        <x:f>+K202*0.1</x:f>
        <x:v>0</x:v>
      </x:c>
      <x:c r="M202" s="5">
        <x:f>+K202+L202</x:f>
        <x:v>0</x:v>
      </x:c>
      <x:c r="N202" s="6"/>
      <x:c r="V202" s="1"/>
    </x:row>
    <x:row r="203" spans="1:22" s="2" customFormat="1" ht="20.100000000000001" customHeight="1">
      <x:c r="A203" s="299"/>
      <x:c r="B203" s="3"/>
      <x:c r="C203" s="3"/>
      <x:c r="D203" s="4"/>
      <x:c r="E203" s="4"/>
      <x:c r="F203" s="5">
        <x:f>+D203+E203</x:f>
        <x:v>0</x:v>
      </x:c>
      <x:c r="G203" s="180"/>
      <x:c r="H203" s="299"/>
      <x:c r="I203" s="3"/>
      <x:c r="J203" s="3"/>
      <x:c r="K203" s="4"/>
      <x:c r="L203" s="4">
        <x:f>+K203*0.1</x:f>
        <x:v>0</x:v>
      </x:c>
      <x:c r="M203" s="5">
        <x:f>+K203+L203</x:f>
        <x:v>0</x:v>
      </x:c>
      <x:c r="N203" s="6"/>
      <x:c r="V203" s="1"/>
    </x:row>
    <x:row r="204" spans="1:22" s="2" customFormat="1" ht="20.100000000000001" customHeight="1">
      <x:c r="A204" s="300"/>
      <x:c r="B204" s="3"/>
      <x:c r="C204" s="3"/>
      <x:c r="D204" s="4"/>
      <x:c r="E204" s="4"/>
      <x:c r="F204" s="5">
        <x:f>+D204+E204</x:f>
        <x:v>0</x:v>
      </x:c>
      <x:c r="G204" s="6"/>
      <x:c r="H204" s="300"/>
      <x:c r="I204" s="3"/>
      <x:c r="J204" s="3"/>
      <x:c r="K204" s="4"/>
      <x:c r="L204" s="4">
        <x:f>+K204*0.1</x:f>
        <x:v>0</x:v>
      </x:c>
      <x:c r="M204" s="5">
        <x:f>+K204+L204</x:f>
        <x:v>0</x:v>
      </x:c>
      <x:c r="N204" s="6"/>
      <x:c r="V204" s="1"/>
    </x:row>
    <x:row r="205" spans="1:22" s="2" customFormat="1" ht="20.100000000000001" customHeight="1">
      <x:c r="A205" s="7" t="s">
        <x:v>155</x:v>
      </x:c>
      <x:c r="B205" s="8"/>
      <x:c r="C205" s="8"/>
      <x:c r="D205" s="9">
        <x:f>SUM(D201:D204)</x:f>
        <x:v>0</x:v>
      </x:c>
      <x:c r="E205" s="9">
        <x:f>SUM(E201:E204)</x:f>
        <x:v>0</x:v>
      </x:c>
      <x:c r="F205" s="10">
        <x:f>SUM(F201:F204)</x:f>
        <x:v>0</x:v>
      </x:c>
      <x:c r="G205" s="11"/>
      <x:c r="H205" s="7"/>
      <x:c r="I205" s="8"/>
      <x:c r="J205" s="8"/>
      <x:c r="K205" s="9">
        <x:f>SUM(K201:K204)</x:f>
        <x:v>0</x:v>
      </x:c>
      <x:c r="L205" s="9">
        <x:f>SUM(L201:L204)</x:f>
        <x:v>0</x:v>
      </x:c>
      <x:c r="M205" s="10">
        <x:f>SUM(M201:M204)</x:f>
        <x:v>0</x:v>
      </x:c>
      <x:c r="N205" s="11"/>
      <x:c r="V205" s="1"/>
    </x:row>
    <x:row r="206" spans="1:22" s="2" customFormat="1" ht="20.100000000000001" customHeight="1">
      <x:c r="A206" s="301" t="s">
        <x:v>149</x:v>
      </x:c>
      <x:c r="B206" s="3" t="s">
        <x:v>248</x:v>
      </x:c>
      <x:c r="C206" s="3" t="s">
        <x:v>149</x:v>
      </x:c>
      <x:c r="D206" s="4">
        <x:v>872806</x:v>
      </x:c>
      <x:c r="E206" s="4"/>
      <x:c r="F206" s="5">
        <x:f>+D206+E206</x:f>
        <x:v>872806</x:v>
      </x:c>
      <x:c r="G206" s="6"/>
      <x:c r="H206" s="301" t="s">
        <x:v>149</x:v>
      </x:c>
      <x:c r="I206" s="3" t="s">
        <x:v>309</x:v>
      </x:c>
      <x:c r="J206" s="3" t="s">
        <x:v>149</x:v>
      </x:c>
      <x:c r="K206" s="4">
        <x:v>27700</x:v>
      </x:c>
      <x:c r="L206" s="4"/>
      <x:c r="M206" s="5">
        <x:f t="shared" ref="M206:M213" si="39">+K206+L206</x:f>
        <x:v>27700</x:v>
      </x:c>
      <x:c r="N206" s="6"/>
      <x:c r="V206" s="1"/>
    </x:row>
    <x:row r="207" spans="1:22" s="2" customFormat="1" ht="20.100000000000001" customHeight="1">
      <x:c r="A207" s="299"/>
      <x:c r="B207" s="3"/>
      <x:c r="C207" s="3"/>
      <x:c r="D207" s="4"/>
      <x:c r="E207" s="4"/>
      <x:c r="F207" s="5">
        <x:f>+D207+E207</x:f>
        <x:v>0</x:v>
      </x:c>
      <x:c r="G207" s="6"/>
      <x:c r="H207" s="299"/>
      <x:c r="I207" s="3"/>
      <x:c r="J207" s="3"/>
      <x:c r="K207" s="4"/>
      <x:c r="L207" s="4">
        <x:f>+K207*0.1</x:f>
        <x:v>0</x:v>
      </x:c>
      <x:c r="M207" s="5">
        <x:f t="shared" si="39"/>
        <x:v>0</x:v>
      </x:c>
      <x:c r="N207" s="6"/>
      <x:c r="V207" s="1"/>
    </x:row>
    <x:row r="208" spans="1:22" s="2" customFormat="1" ht="20.100000000000001" customHeight="1">
      <x:c r="A208" s="299"/>
      <x:c r="B208" s="3"/>
      <x:c r="C208" s="3"/>
      <x:c r="D208" s="4"/>
      <x:c r="E208" s="4"/>
      <x:c r="F208" s="5">
        <x:f>+D208+E208</x:f>
        <x:v>0</x:v>
      </x:c>
      <x:c r="G208" s="6"/>
      <x:c r="H208" s="299"/>
      <x:c r="I208" s="3"/>
      <x:c r="J208" s="3"/>
      <x:c r="K208" s="4"/>
      <x:c r="L208" s="4"/>
      <x:c r="M208" s="5">
        <x:f t="shared" si="39"/>
        <x:v>0</x:v>
      </x:c>
      <x:c r="N208" s="6"/>
      <x:c r="V208" s="1"/>
    </x:row>
    <x:row r="209" spans="1:22" s="2" customFormat="1" ht="20.100000000000001" customHeight="1">
      <x:c r="A209" s="299"/>
      <x:c r="B209" s="3"/>
      <x:c r="C209" s="3"/>
      <x:c r="D209" s="4"/>
      <x:c r="E209" s="4"/>
      <x:c r="F209" s="5">
        <x:f t="shared" ref="F209:F215" si="40">+D209+E209</x:f>
        <x:v>0</x:v>
      </x:c>
      <x:c r="G209" s="6"/>
      <x:c r="H209" s="299"/>
      <x:c r="I209" s="3"/>
      <x:c r="J209" s="3"/>
      <x:c r="K209" s="4"/>
      <x:c r="L209" s="4">
        <x:f>+K209*0.1</x:f>
        <x:v>0</x:v>
      </x:c>
      <x:c r="M209" s="5">
        <x:f t="shared" si="39"/>
        <x:v>0</x:v>
      </x:c>
      <x:c r="N209" s="6"/>
      <x:c r="V209" s="1"/>
    </x:row>
    <x:row r="210" spans="1:22" s="2" customFormat="1" ht="20.100000000000001" customHeight="1">
      <x:c r="A210" s="299"/>
      <x:c r="B210" s="3"/>
      <x:c r="C210" s="3"/>
      <x:c r="D210" s="4"/>
      <x:c r="E210" s="4"/>
      <x:c r="F210" s="5">
        <x:f t="shared" si="40"/>
        <x:v>0</x:v>
      </x:c>
      <x:c r="G210" s="6"/>
      <x:c r="H210" s="299"/>
      <x:c r="I210" s="3"/>
      <x:c r="J210" s="3"/>
      <x:c r="K210" s="4"/>
      <x:c r="L210" s="4">
        <x:f>+K210*0.1</x:f>
        <x:v>0</x:v>
      </x:c>
      <x:c r="M210" s="5">
        <x:f t="shared" si="39"/>
        <x:v>0</x:v>
      </x:c>
      <x:c r="N210" s="6"/>
      <x:c r="V210" s="1"/>
    </x:row>
    <x:row r="211" spans="1:22" s="2" customFormat="1" ht="20.100000000000001" customHeight="1">
      <x:c r="A211" s="299"/>
      <x:c r="B211" s="3"/>
      <x:c r="C211" s="3"/>
      <x:c r="D211" s="4"/>
      <x:c r="E211" s="4"/>
      <x:c r="F211" s="5">
        <x:f t="shared" si="40"/>
        <x:v>0</x:v>
      </x:c>
      <x:c r="G211" s="6"/>
      <x:c r="H211" s="299"/>
      <x:c r="I211" s="3"/>
      <x:c r="J211" s="3"/>
      <x:c r="K211" s="4"/>
      <x:c r="L211" s="4">
        <x:f>+K211*0.1</x:f>
        <x:v>0</x:v>
      </x:c>
      <x:c r="M211" s="5">
        <x:f t="shared" si="39"/>
        <x:v>0</x:v>
      </x:c>
      <x:c r="N211" s="6"/>
      <x:c r="V211" s="1"/>
    </x:row>
    <x:row r="212" spans="1:22" s="2" customFormat="1" ht="20.100000000000001" customHeight="1">
      <x:c r="A212" s="299"/>
      <x:c r="B212" s="3"/>
      <x:c r="C212" s="3"/>
      <x:c r="D212" s="4"/>
      <x:c r="E212" s="4"/>
      <x:c r="F212" s="5">
        <x:f t="shared" si="40"/>
        <x:v>0</x:v>
      </x:c>
      <x:c r="G212" s="6"/>
      <x:c r="H212" s="299"/>
      <x:c r="I212" s="3"/>
      <x:c r="J212" s="3"/>
      <x:c r="K212" s="4"/>
      <x:c r="L212" s="4">
        <x:f t="shared" ref="L212:L215" si="41">+K212*0.1</x:f>
        <x:v>0</x:v>
      </x:c>
      <x:c r="M212" s="5">
        <x:f t="shared" si="39"/>
        <x:v>0</x:v>
      </x:c>
      <x:c r="N212" s="6"/>
      <x:c r="V212" s="1"/>
    </x:row>
    <x:row r="213" spans="1:22" s="2" customFormat="1" ht="20.100000000000001" customHeight="1">
      <x:c r="A213" s="299"/>
      <x:c r="B213" s="3"/>
      <x:c r="C213" s="3"/>
      <x:c r="D213" s="4"/>
      <x:c r="E213" s="4"/>
      <x:c r="F213" s="5">
        <x:f t="shared" si="40"/>
        <x:v>0</x:v>
      </x:c>
      <x:c r="G213" s="6"/>
      <x:c r="H213" s="299"/>
      <x:c r="I213" s="3"/>
      <x:c r="J213" s="3"/>
      <x:c r="K213" s="4"/>
      <x:c r="L213" s="4">
        <x:f t="shared" si="41"/>
        <x:v>0</x:v>
      </x:c>
      <x:c r="M213" s="5">
        <x:f t="shared" si="39"/>
        <x:v>0</x:v>
      </x:c>
      <x:c r="N213" s="6"/>
      <x:c r="V213" s="1"/>
    </x:row>
    <x:row r="214" spans="1:22" s="2" customFormat="1" ht="20.100000000000001" customHeight="1">
      <x:c r="A214" s="299"/>
      <x:c r="B214" s="3"/>
      <x:c r="C214" s="3"/>
      <x:c r="D214" s="4"/>
      <x:c r="E214" s="4"/>
      <x:c r="F214" s="5">
        <x:f t="shared" si="40"/>
        <x:v>0</x:v>
      </x:c>
      <x:c r="G214" s="6"/>
      <x:c r="H214" s="299"/>
      <x:c r="I214" s="3"/>
      <x:c r="J214" s="3"/>
      <x:c r="K214" s="4"/>
      <x:c r="L214" s="4">
        <x:f t="shared" si="41"/>
        <x:v>0</x:v>
      </x:c>
      <x:c r="M214" s="5"/>
      <x:c r="N214" s="6"/>
      <x:c r="V214" s="1"/>
    </x:row>
    <x:row r="215" spans="1:22" s="2" customFormat="1" ht="20.100000000000001" customHeight="1">
      <x:c r="A215" s="300"/>
      <x:c r="B215" s="3"/>
      <x:c r="C215" s="3"/>
      <x:c r="D215" s="4"/>
      <x:c r="E215" s="4"/>
      <x:c r="F215" s="5">
        <x:f t="shared" si="40"/>
        <x:v>0</x:v>
      </x:c>
      <x:c r="G215" s="6"/>
      <x:c r="H215" s="300"/>
      <x:c r="I215" s="3"/>
      <x:c r="J215" s="3"/>
      <x:c r="K215" s="4"/>
      <x:c r="L215" s="4">
        <x:f t="shared" si="41"/>
        <x:v>0</x:v>
      </x:c>
      <x:c r="M215" s="5">
        <x:f>+K215+L215</x:f>
        <x:v>0</x:v>
      </x:c>
      <x:c r="N215" s="6"/>
      <x:c r="V215" s="1"/>
    </x:row>
    <x:row r="216" spans="1:22" s="2" customFormat="1" ht="20.100000000000001" customHeight="1">
      <x:c r="A216" s="7" t="s">
        <x:v>155</x:v>
      </x:c>
      <x:c r="B216" s="8"/>
      <x:c r="C216" s="8"/>
      <x:c r="D216" s="9">
        <x:f>SUM(D206:D215)</x:f>
        <x:v>872806</x:v>
      </x:c>
      <x:c r="E216" s="9">
        <x:f>SUM(E206:E215)</x:f>
        <x:v>0</x:v>
      </x:c>
      <x:c r="F216" s="10">
        <x:f>SUM(F206:F215)</x:f>
        <x:v>872806</x:v>
      </x:c>
      <x:c r="G216" s="11"/>
      <x:c r="H216" s="7"/>
      <x:c r="I216" s="8"/>
      <x:c r="J216" s="8"/>
      <x:c r="K216" s="9">
        <x:f>SUM(K206:K215)</x:f>
        <x:v>27700</x:v>
      </x:c>
      <x:c r="L216" s="9">
        <x:f>SUM(L206:L215)</x:f>
        <x:v>0</x:v>
      </x:c>
      <x:c r="M216" s="10">
        <x:f>SUM(M206:M215)</x:f>
        <x:v>27700</x:v>
      </x:c>
      <x:c r="N216" s="11"/>
      <x:c r="V216" s="1"/>
    </x:row>
    <x:row r="217" spans="1:22" s="2" customFormat="1" ht="20.100000000000001" customHeight="1">
      <x:c r="A217" s="12" t="s">
        <x:v>1690</x:v>
      </x:c>
      <x:c r="B217" s="13"/>
      <x:c r="C217" s="13"/>
      <x:c r="D217" s="14">
        <x:f>+D195+D200+D205+D216</x:f>
        <x:v>10160806</x:v>
      </x:c>
      <x:c r="E217" s="14">
        <x:f>+E195+E200+E205+E216</x:f>
        <x:v>571800</x:v>
      </x:c>
      <x:c r="F217" s="15">
        <x:f>+F195+F200+F205+F216</x:f>
        <x:v>10732606</x:v>
      </x:c>
      <x:c r="G217" s="16"/>
      <x:c r="H217" s="12"/>
      <x:c r="I217" s="13"/>
      <x:c r="J217" s="13"/>
      <x:c r="K217" s="14">
        <x:f>+K195+K200+K205+K216</x:f>
        <x:v>6184350</x:v>
      </x:c>
      <x:c r="L217" s="14">
        <x:f>+L195+L200+L205+L216</x:f>
        <x:v>531665</x:v>
      </x:c>
      <x:c r="M217" s="15">
        <x:f>+M195+M200+M205+M216</x:f>
        <x:v>6716015</x:v>
      </x:c>
      <x:c r="N217" s="16"/>
      <x:c r="V217" s="1"/>
    </x:row>
    <x:row r="218" spans="1:22" s="2" customFormat="1" ht="20.100000000000001" customHeight="1">
      <x:c r="A218" s="23" t="s">
        <x:v>35</x:v>
      </x:c>
      <x:c r="B218" s="24"/>
      <x:c r="C218" s="24"/>
      <x:c r="D218" s="25">
        <x:f>+D178-D217</x:f>
        <x:v>4439194</x:v>
      </x:c>
      <x:c r="E218" s="25">
        <x:f>+E178-E217</x:f>
        <x:v>888200</x:v>
      </x:c>
      <x:c r="F218" s="26">
        <x:f>+F178-F217</x:f>
        <x:v>5327394</x:v>
      </x:c>
      <x:c r="G218" s="27"/>
      <x:c r="H218" s="23"/>
      <x:c r="I218" s="24"/>
      <x:c r="J218" s="24"/>
      <x:c r="K218" s="25">
        <x:f>+K178-K217</x:f>
        <x:v>-6184350</x:v>
      </x:c>
      <x:c r="L218" s="25">
        <x:f>+L178-L217</x:f>
        <x:v>-531665</x:v>
      </x:c>
      <x:c r="M218" s="26">
        <x:f>+M178-M217</x:f>
        <x:v>-6716015</x:v>
      </x:c>
      <x:c r="N218" s="27"/>
      <x:c r="V218" s="1"/>
    </x:row>
  </x:sheetData>
  <x:mergeCells count="52">
    <x:mergeCell ref="A1:N1"/>
    <x:mergeCell ref="O1:S1"/>
    <x:mergeCell ref="A2:G2"/>
    <x:mergeCell ref="H2:N2"/>
    <x:mergeCell ref="A5:A17"/>
    <x:mergeCell ref="H5:H17"/>
    <x:mergeCell ref="A19:A23"/>
    <x:mergeCell ref="H19:H23"/>
    <x:mergeCell ref="A25:A28"/>
    <x:mergeCell ref="H25:H28"/>
    <x:mergeCell ref="A30:A40"/>
    <x:mergeCell ref="H30:H40"/>
    <x:mergeCell ref="A44:G44"/>
    <x:mergeCell ref="H44:N44"/>
    <x:mergeCell ref="A47:A62"/>
    <x:mergeCell ref="H47:H62"/>
    <x:mergeCell ref="A64:A67"/>
    <x:mergeCell ref="H64:H67"/>
    <x:mergeCell ref="A69:A72"/>
    <x:mergeCell ref="H69:H72"/>
    <x:mergeCell ref="A74:A86"/>
    <x:mergeCell ref="H74:H86"/>
    <x:mergeCell ref="A90:G90"/>
    <x:mergeCell ref="H90:N90"/>
    <x:mergeCell ref="A93:A108"/>
    <x:mergeCell ref="H93:H108"/>
    <x:mergeCell ref="A110:A113"/>
    <x:mergeCell ref="H110:H113"/>
    <x:mergeCell ref="A115:A118"/>
    <x:mergeCell ref="H115:H118"/>
    <x:mergeCell ref="A120:A129"/>
    <x:mergeCell ref="H120:H129"/>
    <x:mergeCell ref="A133:G133"/>
    <x:mergeCell ref="H133:N133"/>
    <x:mergeCell ref="A136:A151"/>
    <x:mergeCell ref="H136:H151"/>
    <x:mergeCell ref="A153:A156"/>
    <x:mergeCell ref="H153:H156"/>
    <x:mergeCell ref="A158:A161"/>
    <x:mergeCell ref="H158:H161"/>
    <x:mergeCell ref="A163:A172"/>
    <x:mergeCell ref="H163:H172"/>
    <x:mergeCell ref="A201:A204"/>
    <x:mergeCell ref="H201:H204"/>
    <x:mergeCell ref="A206:A215"/>
    <x:mergeCell ref="H206:H215"/>
    <x:mergeCell ref="A176:G176"/>
    <x:mergeCell ref="H176:N176"/>
    <x:mergeCell ref="A179:A194"/>
    <x:mergeCell ref="H179:H194"/>
    <x:mergeCell ref="A196:A199"/>
    <x:mergeCell ref="H196:H199"/>
  </x:mergeCells>
  <x:pageMargins left="0.7086111307144165" right="0.7086111307144165" top="0.39361110329627991" bottom="0.39361110329627991" header="0.31486111879348755" footer="0.31486111879348755"/>
  <x:pageSetup paperSize="9" scale="55" firstPageNumber="1" fitToWidth="1" fitToHeight="1" orientation="landscape" usePrinterDefaults="1" blackAndWhite="0" draft="0" useFirstPageNumber="0" horizontalDpi="600" verticalDpi="600" copies="1"/>
  <x:rowBreaks count="4" manualBreakCount="4">
    <x:brk id="43" min="0" max="1048575" man="1" pt="0"/>
    <x:brk id="89" min="0" max="1048575" man="1" pt="0"/>
    <x:brk id="132" min="0" max="1048575" man="1" pt="0"/>
    <x:brk id="175" min="0" max="1048575" man="1" pt="0"/>
  </x:rowBreaks>
</x:worksheet>
</file>

<file path=xl/worksheets/sheet6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5"/>
  <x:dimension ref="A1:S117"/>
  <x:sheetViews>
    <x:sheetView view="pageBreakPreview" topLeftCell="A1" zoomScaleNormal="100" zoomScaleSheetLayoutView="100" workbookViewId="0">
      <x:selection activeCell="G10" activeCellId="0" sqref="G10:G10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1812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22"/>
      <x:c r="C2" s="222"/>
      <x:c r="D2" s="222"/>
      <x:c r="E2" s="222"/>
      <x:c r="F2" s="222"/>
      <x:c r="G2" s="222"/>
      <x:c r="H2" s="222"/>
      <x:c r="I2" s="222"/>
      <x:c r="J2" s="222"/>
      <x:c r="K2" s="222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24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'21년10월(세부내역)'!D4</x:f>
        <x:v>283100000</x:v>
      </x:c>
      <x:c r="F5" s="67">
        <x:f>'21년10월(세부내역)'!D18</x:f>
        <x:v>79715370</x:v>
      </x:c>
      <x:c r="G5" s="67">
        <x:f>'21년10월(세부내역)'!D25</x:f>
        <x:v>125435000</x:v>
      </x:c>
      <x:c r="H5" s="67">
        <x:f>'21년10월(세부내역)'!D30</x:f>
        <x:v>780000</x:v>
      </x:c>
      <x:c r="I5" s="67">
        <x:f>'21년10월(세부내역)'!D42</x:f>
        <x:v>4180106</x:v>
      </x:c>
      <x:c r="J5" s="75">
        <x:f t="shared" ref="J5:J12" si="0">+SUM(F5:I5)</x:f>
        <x:v>210110476</x:v>
      </x:c>
      <x:c r="K5" s="141">
        <x:f t="shared" ref="K5:K14" si="1">E5-J5</x:f>
        <x:v>72989524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654</x:v>
      </x:c>
      <x:c r="C6" s="63" t="s">
        <x:v>1065</x:v>
      </x:c>
      <x:c r="D6" s="115" t="s">
        <x:v>140</x:v>
      </x:c>
      <x:c r="E6" s="74">
        <x:f>'21년10월(세부내역)'!K4</x:f>
        <x:v>47120224</x:v>
      </x:c>
      <x:c r="F6" s="59">
        <x:f>+'21년10월(세부내역)'!K18</x:f>
        <x:v>720200</x:v>
      </x:c>
      <x:c r="G6" s="59">
        <x:f>'21년10월(세부내역)'!K25</x:f>
        <x:v>1580000</x:v>
      </x:c>
      <x:c r="H6" s="59">
        <x:f>'21년10월(세부내역)'!K30</x:f>
        <x:v>0</x:v>
      </x:c>
      <x:c r="I6" s="59">
        <x:f>'21년10월(세부내역)'!K42</x:f>
        <x:v>274972</x:v>
      </x:c>
      <x:c r="J6" s="75">
        <x:f t="shared" si="0"/>
        <x:v>2575172</x:v>
      </x:c>
      <x:c r="K6" s="140">
        <x:f t="shared" si="1"/>
        <x:v>44545052</x:v>
      </x:c>
      <x:c r="L6" s="59" t="s">
        <x:v>1562</x:v>
      </x:c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'21년10월(세부내역)'!K47</x:f>
        <x:v>157500000</x:v>
      </x:c>
      <x:c r="F7" s="59">
        <x:f>'21년10월(세부내역)'!K64</x:f>
        <x:v>64575410</x:v>
      </x:c>
      <x:c r="G7" s="59">
        <x:f>'21년10월(세부내역)'!K69</x:f>
        <x:v>49340000</x:v>
      </x:c>
      <x:c r="H7" s="59">
        <x:f>'21년10월(세부내역)'!K78</x:f>
        <x:v>1650000</x:v>
      </x:c>
      <x:c r="I7" s="59">
        <x:f>'21년10월(세부내역)'!K92</x:f>
        <x:v>6531316</x:v>
      </x:c>
      <x:c r="J7" s="75">
        <x:f t="shared" si="0"/>
        <x:v>122096726</x:v>
      </x:c>
      <x:c r="K7" s="141">
        <x:f t="shared" si="1"/>
        <x:v>35403274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135</x:v>
      </x:c>
      <x:c r="E8" s="74">
        <x:f>'21년10월(세부내역)'!D97</x:f>
        <x:v>120000000</x:v>
      </x:c>
      <x:c r="F8" s="59">
        <x:f>'21년10월(세부내역)'!D118</x:f>
        <x:v>58149992</x:v>
      </x:c>
      <x:c r="G8" s="59">
        <x:f>'21년10월(세부내역)'!D123</x:f>
        <x:v>25720000</x:v>
      </x:c>
      <x:c r="H8" s="59">
        <x:f>'21년10월(세부내역)'!D128</x:f>
        <x:v>935000</x:v>
      </x:c>
      <x:c r="I8" s="59">
        <x:f>'21년10월(세부내역)'!D137</x:f>
        <x:v>3025060</x:v>
      </x:c>
      <x:c r="J8" s="75">
        <x:f t="shared" si="0"/>
        <x:v>87830052</x:v>
      </x:c>
      <x:c r="K8" s="141">
        <x:f t="shared" si="1"/>
        <x:v>32169948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'21년10월(세부내역)'!K97</x:f>
        <x:v>91870000</x:v>
      </x:c>
      <x:c r="F9" s="59">
        <x:f>'21년10월(세부내역)'!K118</x:f>
        <x:v>50277400</x:v>
      </x:c>
      <x:c r="G9" s="59">
        <x:f>'21년10월(세부내역)'!K123</x:f>
        <x:v>26450000</x:v>
      </x:c>
      <x:c r="H9" s="59">
        <x:f>'21년10월(세부내역)'!K128</x:f>
        <x:v>550000</x:v>
      </x:c>
      <x:c r="I9" s="59">
        <x:f>'21년10월(세부내역)'!K137</x:f>
        <x:v>2645066</x:v>
      </x:c>
      <x:c r="J9" s="75">
        <x:f t="shared" si="0"/>
        <x:v>79922466</x:v>
      </x:c>
      <x:c r="K9" s="141">
        <x:f t="shared" si="1"/>
        <x:v>11947534</x:v>
      </x:c>
      <x:c r="L9" s="204" t="s">
        <x:v>531</x:v>
      </x:c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91</x:v>
      </x:c>
      <x:c r="E10" s="74">
        <x:f>'21년10월(세부내역)'!D142</x:f>
        <x:v>0</x:v>
      </x:c>
      <x:c r="F10" s="59">
        <x:f>'21년10월(세부내역)'!D159</x:f>
        <x:v>36918600</x:v>
      </x:c>
      <x:c r="G10" s="59">
        <x:f>'21년10월(세부내역)'!D164</x:f>
        <x:v>0</x:v>
      </x:c>
      <x:c r="H10" s="59">
        <x:f>'21년10월(세부내역)'!D169</x:f>
        <x:v>0</x:v>
      </x:c>
      <x:c r="I10" s="59">
        <x:f>'21년10월(세부내역)'!D180</x:f>
        <x:v>0</x:v>
      </x:c>
      <x:c r="J10" s="75">
        <x:f t="shared" si="0"/>
        <x:v>36918600</x:v>
      </x:c>
      <x:c r="K10" s="141">
        <x:f t="shared" si="1"/>
        <x:v>-36918600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'21년10월(세부내역)'!D47</x:f>
        <x:v>207300000</x:v>
      </x:c>
      <x:c r="F11" s="59">
        <x:f>+'21년10월(세부내역)'!D64</x:f>
        <x:v>182456063</x:v>
      </x:c>
      <x:c r="G11" s="59">
        <x:f>'21년10월(세부내역)'!D69</x:f>
        <x:v>85919000</x:v>
      </x:c>
      <x:c r="H11" s="59">
        <x:f>'21년10월(세부내역)'!D78</x:f>
        <x:v>6802000</x:v>
      </x:c>
      <x:c r="I11" s="59">
        <x:f>'21년10월(세부내역)'!D92</x:f>
        <x:v>10631794</x:v>
      </x:c>
      <x:c r="J11" s="75">
        <x:f t="shared" si="0"/>
        <x:v>285808857</x:v>
      </x:c>
      <x:c r="K11" s="141">
        <x:f>E11-J11</x:f>
        <x:v>-78508857</x:v>
      </x:c>
      <x:c r="L11" s="205" t="s">
        <x:v>552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'21년10월(세부내역)'!K142</x:f>
        <x:v>0</x:v>
      </x:c>
      <x:c r="F12" s="59">
        <x:f>'21년10월(세부내역)'!K159</x:f>
        <x:v>3548700</x:v>
      </x:c>
      <x:c r="G12" s="59">
        <x:f>+'21년10월(세부내역)'!K164</x:f>
        <x:v>22230000</x:v>
      </x:c>
      <x:c r="H12" s="59">
        <x:f>+'21년10월(세부내역)'!K169</x:f>
        <x:v>260000</x:v>
      </x:c>
      <x:c r="I12" s="59">
        <x:f>+'21년10월(세부내역)'!K180</x:f>
        <x:v>9181024</x:v>
      </x:c>
      <x:c r="J12" s="75">
        <x:f t="shared" si="0"/>
        <x:v>35219724</x:v>
      </x:c>
      <x:c r="K12" s="141">
        <x:f t="shared" si="1"/>
        <x:v>-35219724</x:v>
      </x:c>
      <x:c r="L12" s="204"/>
    </x:row>
    <x:row r="13" spans="1:12" ht="30" customHeight="1">
      <x:c r="A13" s="63">
        <x:v>9</x:v>
      </x:c>
      <x:c r="B13" s="63" t="s">
        <x:v>438</x:v>
      </x:c>
      <x:c r="C13" s="63" t="s">
        <x:v>1065</x:v>
      </x:c>
      <x:c r="D13" s="115" t="s">
        <x:v>536</x:v>
      </x:c>
      <x:c r="E13" s="74">
        <x:f>'21년10월(세부내역)'!D185</x:f>
        <x:v>0</x:v>
      </x:c>
      <x:c r="F13" s="59">
        <x:f>'21년10월(세부내역)'!D202</x:f>
        <x:v>9678896</x:v>
      </x:c>
      <x:c r="G13" s="59">
        <x:f>'21년10월(세부내역)'!D207</x:f>
        <x:v>20115000</x:v>
      </x:c>
      <x:c r="H13" s="59">
        <x:f>'21년10월(세부내역)'!D212</x:f>
        <x:v>850000</x:v>
      </x:c>
      <x:c r="I13" s="59">
        <x:f>'21년10월(세부내역)'!D223</x:f>
        <x:v>1368240</x:v>
      </x:c>
      <x:c r="J13" s="75">
        <x:f>+SUM(F13:I13)</x:f>
        <x:v>32012136</x:v>
      </x:c>
      <x:c r="K13" s="141">
        <x:f t="shared" si="1"/>
        <x:v>-32012136</x:v>
      </x:c>
      <x:c r="L13" s="204"/>
    </x:row>
    <x:row r="14" spans="1:12" ht="30" customHeight="1">
      <x:c r="A14" s="63">
        <x:v>10</x:v>
      </x:c>
      <x:c r="B14" s="63" t="s">
        <x:v>553</x:v>
      </x:c>
      <x:c r="C14" s="63" t="s">
        <x:v>791</x:v>
      </x:c>
      <x:c r="D14" s="115" t="s">
        <x:v>551</x:v>
      </x:c>
      <x:c r="E14" s="74">
        <x:f>'21년10월(세부내역)'!K185</x:f>
        <x:v>0</x:v>
      </x:c>
      <x:c r="F14" s="59">
        <x:f>'21년10월(세부내역)'!K202</x:f>
        <x:v>0</x:v>
      </x:c>
      <x:c r="G14" s="59">
        <x:f>'21년10월(세부내역)'!K207</x:f>
        <x:v>0</x:v>
      </x:c>
      <x:c r="H14" s="59">
        <x:f>'21년10월(세부내역)'!K212</x:f>
        <x:v>0</x:v>
      </x:c>
      <x:c r="I14" s="59">
        <x:f>'21년10월(세부내역)'!K223</x:f>
        <x:v>30000</x:v>
      </x:c>
      <x:c r="J14" s="75">
        <x:f>+SUM(F14:I14)</x:f>
        <x:v>30000</x:v>
      </x:c>
      <x:c r="K14" s="141">
        <x:f t="shared" si="1"/>
        <x:v>-30000</x:v>
      </x:c>
      <x:c r="L14" s="204"/>
    </x:row>
    <x:row r="15" spans="1:12" ht="30" customHeight="1">
      <x:c r="A15" s="64"/>
      <x:c r="B15" s="64" t="s">
        <x:v>1690</x:v>
      </x:c>
      <x:c r="C15" s="64"/>
      <x:c r="D15" s="64"/>
      <x:c r="E15" s="68">
        <x:f>SUM(E5:E14)</x:f>
        <x:v>906890224</x:v>
      </x:c>
      <x:c r="F15" s="66">
        <x:f t="shared" ref="F15:K15" si="2">SUM(F5:F14)</x:f>
        <x:v>486040631</x:v>
      </x:c>
      <x:c r="G15" s="66">
        <x:f t="shared" si="2"/>
        <x:v>356789000</x:v>
      </x:c>
      <x:c r="H15" s="66">
        <x:f t="shared" si="2"/>
        <x:v>11827000</x:v>
      </x:c>
      <x:c r="I15" s="66">
        <x:f t="shared" si="2"/>
        <x:v>37867578</x:v>
      </x:c>
      <x:c r="J15" s="69">
        <x:f t="shared" si="2"/>
        <x:v>892524209</x:v>
      </x:c>
      <x:c r="K15" s="142">
        <x:f t="shared" si="2"/>
        <x:v>14366015</x:v>
      </x:c>
      <x:c r="L15" s="66"/>
    </x:row>
    <x:row r="27" spans="1:19" s="2" customFormat="1">
      <x:c r="A27" s="1"/>
      <x:c r="B27" s="1"/>
      <x:c r="C27" s="1"/>
      <x:c r="D27" s="1"/>
      <x:c r="E27" s="1"/>
      <x:c r="J27" s="1"/>
      <x:c r="K27" s="1"/>
      <x:c r="M27" s="1"/>
      <x:c r="N27" s="1"/>
      <x:c r="O27" s="1"/>
      <x:c r="P27" s="1"/>
      <x:c r="Q27" s="1"/>
      <x:c r="R27" s="1"/>
      <x:c r="S27" s="1"/>
    </x:row>
    <x:row r="117" spans="4:4">
      <x:c r="D117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6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6"/>
  <x:dimension ref="A1:V225"/>
  <x:sheetViews>
    <x:sheetView view="pageBreakPreview" topLeftCell="A64" zoomScaleNormal="100" zoomScaleSheetLayoutView="100" workbookViewId="0">
      <x:selection activeCell="E70" activeCellId="0" sqref="E70:E70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1789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654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24" t="s">
        <x:v>144</x:v>
      </x:c>
      <x:c r="C3" s="224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24" t="s">
        <x:v>144</x:v>
      </x:c>
      <x:c r="J3" s="224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283100000</x:v>
      </x:c>
      <x:c r="E4" s="39">
        <x:v>8900000</x:v>
      </x:c>
      <x:c r="F4" s="40">
        <x:f>+D4+E4</x:f>
        <x:v>292000000</x:v>
      </x:c>
      <x:c r="G4" s="42"/>
      <x:c r="H4" s="223" t="s">
        <x:v>151</x:v>
      </x:c>
      <x:c r="I4" s="38" t="s">
        <x:v>1679</x:v>
      </x:c>
      <x:c r="J4" s="38" t="s">
        <x:v>1030</x:v>
      </x:c>
      <x:c r="K4" s="39">
        <x:f>46002459+1117765</x:f>
        <x:v>47120224</x:v>
      </x:c>
      <x:c r="L4" s="39">
        <x:v>111776</x:v>
      </x:c>
      <x:c r="M4" s="40">
        <x:f>+K4+L4</x:f>
        <x:v>47232000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374</x:v>
      </x:c>
      <x:c r="D5" s="212">
        <x:v>56308500</x:v>
      </x:c>
      <x:c r="E5" s="212">
        <x:f>+D5*0.1</x:f>
        <x:v>5630850</x:v>
      </x:c>
      <x:c r="F5" s="213">
        <x:f>+D5+E5</x:f>
        <x:v>61939350</x:v>
      </x:c>
      <x:c r="G5" s="169"/>
      <x:c r="H5" s="298" t="s">
        <x:v>148</x:v>
      </x:c>
      <x:c r="I5" s="19" t="s">
        <x:v>838</x:v>
      </x:c>
      <x:c r="J5" s="19"/>
      <x:c r="K5" s="20"/>
      <x:c r="L5" s="20">
        <x:f t="shared" ref="L5:L17" si="0">+INT(K5*0.1)</x:f>
        <x:v>0</x:v>
      </x:c>
      <x:c r="M5" s="21">
        <x:f t="shared" ref="M5:M24" si="1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615</x:v>
      </x:c>
      <x:c r="D6" s="163">
        <x:v>7528700</x:v>
      </x:c>
      <x:c r="E6" s="44">
        <x:f>+D6*0.1</x:f>
        <x:v>752870</x:v>
      </x:c>
      <x:c r="F6" s="164">
        <x:f>+D6+E6</x:f>
        <x:v>8281570</x:v>
      </x:c>
      <x:c r="G6" s="203"/>
      <x:c r="H6" s="299"/>
      <x:c r="I6" s="3" t="s">
        <x:v>867</x:v>
      </x:c>
      <x:c r="J6" s="3"/>
      <x:c r="K6" s="4"/>
      <x:c r="L6" s="4">
        <x:f t="shared" si="0"/>
        <x:v>0</x:v>
      </x:c>
      <x:c r="M6" s="5">
        <x:f t="shared" si="1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401</x:v>
      </x:c>
      <x:c r="D7" s="163">
        <x:v>2424000</x:v>
      </x:c>
      <x:c r="E7" s="4">
        <x:f>+D7*0.1</x:f>
        <x:v>242400</x:v>
      </x:c>
      <x:c r="F7" s="5">
        <x:f>+D7+E7</x:f>
        <x:v>2666400</x:v>
      </x:c>
      <x:c r="G7" s="180"/>
      <x:c r="H7" s="299"/>
      <x:c r="I7" s="3" t="s">
        <x:v>854</x:v>
      </x:c>
      <x:c r="J7" s="3"/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3" t="s">
        <x:v>907</x:v>
      </x:c>
      <x:c r="C8" s="162"/>
      <x:c r="D8" s="163"/>
      <x:c r="E8" s="4"/>
      <x:c r="F8" s="45">
        <x:f t="shared" ref="F8:F15" si="2">+D8+E8</x:f>
        <x:v>0</x:v>
      </x:c>
      <x:c r="G8" s="179"/>
      <x:c r="H8" s="299"/>
      <x:c r="I8" s="3" t="s">
        <x:v>1348</x:v>
      </x:c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 t="s">
        <x:v>1119</x:v>
      </x:c>
      <x:c r="C9" s="162" t="s">
        <x:v>718</x:v>
      </x:c>
      <x:c r="D9" s="163">
        <x:v>2440000</x:v>
      </x:c>
      <x:c r="E9" s="4">
        <x:f>+D9*0.1</x:f>
        <x:v>244000</x:v>
      </x:c>
      <x:c r="F9" s="45">
        <x:f t="shared" si="2"/>
        <x:v>2684000</x:v>
      </x:c>
      <x:c r="G9" s="37"/>
      <x:c r="H9" s="299"/>
      <x:c r="I9" s="3" t="s">
        <x:v>846</x:v>
      </x:c>
      <x:c r="J9" s="3" t="s">
        <x:v>1561</x:v>
      </x:c>
      <x:c r="K9" s="4">
        <x:v>720200</x:v>
      </x:c>
      <x:c r="L9" s="4">
        <x:f>+INT(K9*0.1)</x:f>
        <x:v>72020</x:v>
      </x:c>
      <x:c r="M9" s="5">
        <x:f t="shared" si="1"/>
        <x:v>792220</x:v>
      </x:c>
      <x:c r="N9" s="6"/>
    </x:row>
    <x:row r="10" spans="1:14" ht="20.100000000000001" customHeight="1">
      <x:c r="A10" s="299"/>
      <x:c r="B10" s="3" t="s">
        <x:v>846</x:v>
      </x:c>
      <x:c r="C10" s="3" t="s">
        <x:v>888</x:v>
      </x:c>
      <x:c r="D10" s="163">
        <x:v>2041000</x:v>
      </x:c>
      <x:c r="E10" s="4">
        <x:f>+D10*0.1</x:f>
        <x:v>204100</x:v>
      </x:c>
      <x:c r="F10" s="5">
        <x:f t="shared" si="2"/>
        <x:v>2245100</x:v>
      </x:c>
      <x:c r="G10" s="37"/>
      <x:c r="H10" s="299"/>
      <x:c r="I10" s="3"/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444</x:v>
      </x:c>
      <x:c r="D11" s="163">
        <x:v>1701690</x:v>
      </x:c>
      <x:c r="E11" s="4">
        <x:f>+D11*0.1</x:f>
        <x:v>170169</x:v>
      </x:c>
      <x:c r="F11" s="5">
        <x:f t="shared" si="2"/>
        <x:v>1871859</x:v>
      </x:c>
      <x:c r="G11" s="6"/>
      <x:c r="H11" s="299"/>
      <x:c r="I11" s="3"/>
      <x:c r="J11" s="3"/>
      <x:c r="K11" s="4"/>
      <x:c r="L11" s="4">
        <x:f t="shared" si="0"/>
        <x:v>0</x:v>
      </x:c>
      <x:c r="M11" s="5">
        <x:f t="shared" si="1"/>
        <x:v>0</x:v>
      </x:c>
      <x:c r="N11" s="217"/>
    </x:row>
    <x:row r="12" spans="1:14" ht="20.100000000000001" customHeight="1">
      <x:c r="A12" s="299"/>
      <x:c r="B12" s="162" t="s">
        <x:v>1449</x:v>
      </x:c>
      <x:c r="C12" s="162"/>
      <x:c r="D12" s="163"/>
      <x:c r="E12" s="4"/>
      <x:c r="F12" s="45">
        <x:f t="shared" si="2"/>
        <x:v>0</x:v>
      </x:c>
      <x:c r="G12" s="37"/>
      <x:c r="H12" s="299"/>
      <x:c r="I12" s="3"/>
      <x:c r="J12" s="3"/>
      <x:c r="K12" s="4"/>
      <x:c r="L12" s="4">
        <x:f t="shared" si="0"/>
        <x:v>0</x:v>
      </x:c>
      <x:c r="M12" s="5">
        <x:f t="shared" si="1"/>
        <x:v>0</x:v>
      </x:c>
      <x:c r="N12" s="6"/>
    </x:row>
    <x:row r="13" spans="1:14" ht="20.100000000000001" customHeight="1">
      <x:c r="A13" s="299"/>
      <x:c r="B13" s="3" t="s">
        <x:v>938</x:v>
      </x:c>
      <x:c r="C13" s="3"/>
      <x:c r="D13" s="163"/>
      <x:c r="E13" s="4"/>
      <x:c r="F13" s="45">
        <x:f t="shared" si="2"/>
        <x:v>0</x:v>
      </x:c>
      <x:c r="G13" s="37"/>
      <x:c r="H13" s="299"/>
      <x:c r="I13" s="3"/>
      <x:c r="J13" s="3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162" t="s">
        <x:v>1378</x:v>
      </x:c>
      <x:c r="C14" s="162" t="s">
        <x:v>1569</x:v>
      </x:c>
      <x:c r="D14" s="163">
        <x:v>2469400</x:v>
      </x:c>
      <x:c r="E14" s="4">
        <x:f>+D14*0.1</x:f>
        <x:v>246940</x:v>
      </x:c>
      <x:c r="F14" s="45">
        <x:f t="shared" si="2"/>
        <x:v>2716340</x:v>
      </x:c>
      <x:c r="G14" s="6"/>
      <x:c r="H14" s="299"/>
      <x:c r="I14" s="3"/>
      <x:c r="J14" s="3"/>
      <x:c r="K14" s="4"/>
      <x:c r="L14" s="4">
        <x:f t="shared" si="0"/>
        <x:v>0</x:v>
      </x:c>
      <x:c r="M14" s="5">
        <x:f t="shared" si="1"/>
        <x:v>0</x:v>
      </x:c>
      <x:c r="N14" s="6"/>
    </x:row>
    <x:row r="15" spans="1:14" ht="20.100000000000001" customHeight="1">
      <x:c r="A15" s="299"/>
      <x:c r="B15" s="3" t="s">
        <x:v>976</x:v>
      </x:c>
      <x:c r="C15" s="3" t="s">
        <x:v>528</x:v>
      </x:c>
      <x:c r="D15" s="163">
        <x:v>600000</x:v>
      </x:c>
      <x:c r="E15" s="4">
        <x:f>+D15*0.1</x:f>
        <x:v>60000</x:v>
      </x:c>
      <x:c r="F15" s="45">
        <x:f t="shared" si="2"/>
        <x:v>660000</x:v>
      </x:c>
      <x:c r="G15" s="37"/>
      <x:c r="H15" s="299"/>
      <x:c r="I15" s="3"/>
      <x:c r="J15" s="3"/>
      <x:c r="K15" s="4"/>
      <x:c r="L15" s="4">
        <x:f t="shared" si="0"/>
        <x:v>0</x:v>
      </x:c>
      <x:c r="M15" s="5">
        <x:f t="shared" si="1"/>
        <x:v>0</x:v>
      </x:c>
      <x:c r="N15" s="6"/>
    </x:row>
    <x:row r="16" spans="1:14" ht="20.100000000000001" customHeight="1">
      <x:c r="A16" s="299"/>
      <x:c r="B16" s="162" t="s">
        <x:v>1564</x:v>
      </x:c>
      <x:c r="C16" s="162" t="s">
        <x:v>1552</x:v>
      </x:c>
      <x:c r="D16" s="163">
        <x:f>166000+1085140+2950940</x:f>
        <x:v>4202080</x:v>
      </x:c>
      <x:c r="E16" s="163">
        <x:f>+D16*0.1</x:f>
        <x:v>420208</x:v>
      </x:c>
      <x:c r="F16" s="164">
        <x:f>+D16+E16</x:f>
        <x:v>4622288</x:v>
      </x:c>
      <x:c r="G16" s="180"/>
      <x:c r="H16" s="299"/>
      <x:c r="I16" s="3"/>
      <x:c r="J16" s="3"/>
      <x:c r="K16" s="4"/>
      <x:c r="L16" s="4">
        <x:f t="shared" si="0"/>
        <x:v>0</x:v>
      </x:c>
      <x:c r="M16" s="5">
        <x:f t="shared" si="1"/>
        <x:v>0</x:v>
      </x:c>
      <x:c r="N16" s="6"/>
    </x:row>
    <x:row r="17" spans="1:14" ht="20.100000000000001" customHeight="1">
      <x:c r="A17" s="300"/>
      <x:c r="B17" s="3"/>
      <x:c r="C17" s="3"/>
      <x:c r="D17" s="163"/>
      <x:c r="E17" s="4"/>
      <x:c r="F17" s="45">
        <x:f>+D17+E17</x:f>
        <x:v>0</x:v>
      </x:c>
      <x:c r="G17" s="6"/>
      <x:c r="H17" s="300"/>
      <x:c r="I17" s="3"/>
      <x:c r="J17" s="3"/>
      <x:c r="K17" s="4"/>
      <x:c r="L17" s="4">
        <x:f t="shared" si="0"/>
        <x:v>0</x:v>
      </x:c>
      <x:c r="M17" s="5">
        <x:f t="shared" si="1"/>
        <x:v>0</x:v>
      </x:c>
      <x:c r="N17" s="6"/>
    </x:row>
    <x:row r="18" spans="1:14" ht="20.100000000000001" customHeight="1">
      <x:c r="A18" s="7" t="s">
        <x:v>155</x:v>
      </x:c>
      <x:c r="B18" s="8"/>
      <x:c r="C18" s="8"/>
      <x:c r="D18" s="80">
        <x:f>SUM(D5:D17)</x:f>
        <x:v>79715370</x:v>
      </x:c>
      <x:c r="E18" s="9">
        <x:f>SUM(E5:E17)</x:f>
        <x:v>7971537</x:v>
      </x:c>
      <x:c r="F18" s="10">
        <x:f>SUM(F5:F17)</x:f>
        <x:v>87686907</x:v>
      </x:c>
      <x:c r="G18" s="11"/>
      <x:c r="H18" s="7"/>
      <x:c r="I18" s="8"/>
      <x:c r="J18" s="8"/>
      <x:c r="K18" s="9">
        <x:f>SUM(K5:K17)</x:f>
        <x:v>720200</x:v>
      </x:c>
      <x:c r="L18" s="9">
        <x:f>SUM(L5:L17)</x:f>
        <x:v>72020</x:v>
      </x:c>
      <x:c r="M18" s="10">
        <x:f>SUM(M5:M17)</x:f>
        <x:v>792220</x:v>
      </x:c>
      <x:c r="N18" s="11"/>
    </x:row>
    <x:row r="19" spans="1:14" ht="20.100000000000001" customHeight="1">
      <x:c r="A19" s="301" t="s">
        <x:v>153</x:v>
      </x:c>
      <x:c r="B19" s="3" t="s">
        <x:v>1677</x:v>
      </x:c>
      <x:c r="C19" s="3" t="s">
        <x:v>1079</x:v>
      </x:c>
      <x:c r="D19" s="163">
        <x:v>20720000</x:v>
      </x:c>
      <x:c r="E19" s="44"/>
      <x:c r="F19" s="45">
        <x:f t="shared" ref="F19:F24" si="3">+D19+E19</x:f>
        <x:v>20720000</x:v>
      </x:c>
      <x:c r="G19" s="37"/>
      <x:c r="H19" s="301" t="s">
        <x:v>153</x:v>
      </x:c>
      <x:c r="I19" s="3" t="s">
        <x:v>1677</x:v>
      </x:c>
      <x:c r="J19" s="3" t="s">
        <x:v>297</x:v>
      </x:c>
      <x:c r="K19" s="4">
        <x:v>1050000</x:v>
      </x:c>
      <x:c r="L19" s="4"/>
      <x:c r="M19" s="5">
        <x:f t="shared" si="1"/>
        <x:v>1050000</x:v>
      </x:c>
      <x:c r="N19" s="6"/>
    </x:row>
    <x:row r="20" spans="1:14" ht="20.100000000000001" customHeight="1">
      <x:c r="A20" s="299"/>
      <x:c r="B20" s="3" t="s">
        <x:v>1241</x:v>
      </x:c>
      <x:c r="C20" s="3" t="s">
        <x:v>1368</x:v>
      </x:c>
      <x:c r="D20" s="163">
        <x:v>17100000</x:v>
      </x:c>
      <x:c r="E20" s="4"/>
      <x:c r="F20" s="5">
        <x:f t="shared" si="3"/>
        <x:v>17100000</x:v>
      </x:c>
      <x:c r="G20" s="37"/>
      <x:c r="H20" s="299"/>
      <x:c r="I20" s="3" t="s">
        <x:v>298</x:v>
      </x:c>
      <x:c r="J20" s="3" t="s">
        <x:v>1575</x:v>
      </x:c>
      <x:c r="K20" s="4">
        <x:v>530000</x:v>
      </x:c>
      <x:c r="L20" s="4">
        <x:f>+K20*0.1</x:f>
        <x:v>53000</x:v>
      </x:c>
      <x:c r="M20" s="5">
        <x:f t="shared" si="1"/>
        <x:v>583000</x:v>
      </x:c>
      <x:c r="N20" s="6" t="s">
        <x:v>1578</x:v>
      </x:c>
    </x:row>
    <x:row r="21" spans="1:22" s="2" customFormat="1" ht="20.100000000000001" customHeight="1">
      <x:c r="A21" s="299"/>
      <x:c r="B21" s="3" t="s">
        <x:v>1241</x:v>
      </x:c>
      <x:c r="C21" s="3" t="s">
        <x:v>1389</x:v>
      </x:c>
      <x:c r="D21" s="163">
        <x:v>12485000</x:v>
      </x:c>
      <x:c r="E21" s="4"/>
      <x:c r="F21" s="5">
        <x:f t="shared" si="3"/>
        <x:v>12485000</x:v>
      </x:c>
      <x:c r="G21" s="37"/>
      <x:c r="H21" s="299"/>
      <x:c r="I21" s="3"/>
      <x:c r="J21" s="3"/>
      <x:c r="K21" s="4"/>
      <x:c r="L21" s="4"/>
      <x:c r="M21" s="5">
        <x:f t="shared" si="1"/>
        <x:v>0</x:v>
      </x:c>
      <x:c r="N21" s="6"/>
      <x:c r="V21" s="1"/>
    </x:row>
    <x:row r="22" spans="1:22" s="2" customFormat="1" ht="20.100000000000001" customHeight="1">
      <x:c r="A22" s="299"/>
      <x:c r="B22" s="3" t="s">
        <x:v>1241</x:v>
      </x:c>
      <x:c r="C22" s="3" t="s">
        <x:v>547</x:v>
      </x:c>
      <x:c r="D22" s="163">
        <x:f>45570000+12800000</x:f>
        <x:v>58370000</x:v>
      </x:c>
      <x:c r="E22" s="4">
        <x:v>1280000</x:v>
      </x:c>
      <x:c r="F22" s="5">
        <x:f t="shared" si="3"/>
        <x:v>59650000</x:v>
      </x:c>
      <x:c r="G22" s="37"/>
      <x:c r="H22" s="299"/>
      <x:c r="I22" s="3"/>
      <x:c r="J22" s="3"/>
      <x:c r="K22" s="4"/>
      <x:c r="L22" s="4"/>
      <x:c r="M22" s="5"/>
      <x:c r="N22" s="6"/>
      <x:c r="V22" s="1"/>
    </x:row>
    <x:row r="23" spans="1:22" s="2" customFormat="1" ht="20.100000000000001" customHeight="1">
      <x:c r="A23" s="299"/>
      <x:c r="B23" s="3" t="s">
        <x:v>1241</x:v>
      </x:c>
      <x:c r="C23" s="3" t="s">
        <x:v>168</x:v>
      </x:c>
      <x:c r="D23" s="163">
        <x:v>14480000</x:v>
      </x:c>
      <x:c r="E23" s="4"/>
      <x:c r="F23" s="5">
        <x:f t="shared" si="3"/>
        <x:v>14480000</x:v>
      </x:c>
      <x:c r="G23" s="6"/>
      <x:c r="H23" s="299"/>
      <x:c r="I23" s="3"/>
      <x:c r="J23" s="3"/>
      <x:c r="K23" s="4"/>
      <x:c r="L23" s="4"/>
      <x:c r="M23" s="5">
        <x:f>+K23+L23</x:f>
        <x:v>0</x:v>
      </x:c>
      <x:c r="N23" s="6"/>
      <x:c r="V23" s="1"/>
    </x:row>
    <x:row r="24" spans="1:22" s="2" customFormat="1" ht="20.100000000000001" customHeight="1">
      <x:c r="A24" s="300"/>
      <x:c r="B24" s="3" t="s">
        <x:v>1241</x:v>
      </x:c>
      <x:c r="C24" s="3" t="s">
        <x:v>311</x:v>
      </x:c>
      <x:c r="D24" s="163">
        <x:v>2280000</x:v>
      </x:c>
      <x:c r="E24" s="4"/>
      <x:c r="F24" s="5">
        <x:f t="shared" si="3"/>
        <x:v>2280000</x:v>
      </x:c>
      <x:c r="G24" s="6"/>
      <x:c r="H24" s="300"/>
      <x:c r="I24" s="3"/>
      <x:c r="J24" s="3"/>
      <x:c r="K24" s="4"/>
      <x:c r="L24" s="4"/>
      <x:c r="M24" s="5">
        <x:f t="shared" si="1"/>
        <x:v>0</x:v>
      </x:c>
      <x:c r="N24" s="6"/>
      <x:c r="V24" s="1"/>
    </x:row>
    <x:row r="25" spans="1:22" s="2" customFormat="1" ht="20.100000000000001" customHeight="1">
      <x:c r="A25" s="7" t="s">
        <x:v>155</x:v>
      </x:c>
      <x:c r="B25" s="8"/>
      <x:c r="C25" s="8"/>
      <x:c r="D25" s="80">
        <x:f>SUM(D19:D24)</x:f>
        <x:v>125435000</x:v>
      </x:c>
      <x:c r="E25" s="9">
        <x:f>SUM(E19:E24)</x:f>
        <x:v>1280000</x:v>
      </x:c>
      <x:c r="F25" s="10">
        <x:f>SUM(F19:F24)</x:f>
        <x:v>126715000</x:v>
      </x:c>
      <x:c r="G25" s="11"/>
      <x:c r="H25" s="7"/>
      <x:c r="I25" s="8"/>
      <x:c r="J25" s="8"/>
      <x:c r="K25" s="9">
        <x:f>SUM(K19:K24)</x:f>
        <x:v>1580000</x:v>
      </x:c>
      <x:c r="L25" s="9">
        <x:f>SUM(L19:L24)</x:f>
        <x:v>53000</x:v>
      </x:c>
      <x:c r="M25" s="10">
        <x:f>SUM(M19:M24)</x:f>
        <x:v>1633000</x:v>
      </x:c>
      <x:c r="N25" s="11"/>
      <x:c r="V25" s="1"/>
    </x:row>
    <x:row r="26" spans="1:22" s="2" customFormat="1" ht="20.100000000000001" customHeight="1">
      <x:c r="A26" s="301" t="s">
        <x:v>187</x:v>
      </x:c>
      <x:c r="B26" s="3" t="s">
        <x:v>1321</x:v>
      </x:c>
      <x:c r="C26" s="3" t="s">
        <x:v>948</x:v>
      </x:c>
      <x:c r="D26" s="163">
        <x:v>240000</x:v>
      </x:c>
      <x:c r="E26" s="4">
        <x:f>+D26*0.1</x:f>
        <x:v>24000</x:v>
      </x:c>
      <x:c r="F26" s="5">
        <x:f>+D26+E26</x:f>
        <x:v>264000</x:v>
      </x:c>
      <x:c r="G26" s="6"/>
      <x:c r="H26" s="301" t="s">
        <x:v>187</x:v>
      </x:c>
      <x:c r="I26" s="3"/>
      <x:c r="J26" s="3"/>
      <x:c r="K26" s="4"/>
      <x:c r="L26" s="4"/>
      <x:c r="M26" s="5">
        <x:f>+K26+L26</x:f>
        <x:v>0</x:v>
      </x:c>
      <x:c r="N26" s="6"/>
      <x:c r="V26" s="1"/>
    </x:row>
    <x:row r="27" spans="1:22" s="2" customFormat="1" ht="20.100000000000001" customHeight="1">
      <x:c r="A27" s="299"/>
      <x:c r="B27" s="3" t="s">
        <x:v>436</x:v>
      </x:c>
      <x:c r="C27" s="3" t="s">
        <x:v>1390</x:v>
      </x:c>
      <x:c r="D27" s="163">
        <x:v>540000</x:v>
      </x:c>
      <x:c r="E27" s="4">
        <x:f>+D27*0.1</x:f>
        <x:v>54000</x:v>
      </x:c>
      <x:c r="F27" s="5">
        <x:f>+D27+E27</x:f>
        <x:v>594000</x:v>
      </x:c>
      <x:c r="G27" s="6"/>
      <x:c r="H27" s="299"/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299"/>
      <x:c r="B28" s="3" t="s">
        <x:v>1387</x:v>
      </x:c>
      <x:c r="C28" s="3" t="s">
        <x:v>157</x:v>
      </x:c>
      <x:c r="D28" s="163"/>
      <x:c r="E28" s="4"/>
      <x:c r="F28" s="5">
        <x:f>+D28+E28</x:f>
        <x:v>0</x:v>
      </x:c>
      <x:c r="G28" s="6"/>
      <x:c r="H28" s="299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300"/>
      <x:c r="B29" s="3"/>
      <x:c r="C29" s="3"/>
      <x:c r="D29" s="163"/>
      <x:c r="E29" s="4"/>
      <x:c r="F29" s="5">
        <x:f>+D29+E29</x:f>
        <x:v>0</x:v>
      </x:c>
      <x:c r="G29" s="6"/>
      <x:c r="H29" s="300"/>
      <x:c r="I29" s="3"/>
      <x:c r="J29" s="3"/>
      <x:c r="K29" s="4"/>
      <x:c r="L29" s="4"/>
      <x:c r="M29" s="5">
        <x:f>+K29+L29</x:f>
        <x:v>0</x:v>
      </x:c>
      <x:c r="N29" s="6"/>
      <x:c r="V29" s="1"/>
    </x:row>
    <x:row r="30" spans="1:22" s="2" customFormat="1" ht="20.100000000000001" customHeight="1">
      <x:c r="A30" s="7" t="s">
        <x:v>155</x:v>
      </x:c>
      <x:c r="B30" s="8"/>
      <x:c r="C30" s="8"/>
      <x:c r="D30" s="80">
        <x:f>SUM(D26:D29)</x:f>
        <x:v>780000</x:v>
      </x:c>
      <x:c r="E30" s="9">
        <x:f>SUM(E26:E29)</x:f>
        <x:v>78000</x:v>
      </x:c>
      <x:c r="F30" s="10">
        <x:f>SUM(F26:F29)</x:f>
        <x:v>858000</x:v>
      </x:c>
      <x:c r="G30" s="11"/>
      <x:c r="H30" s="7"/>
      <x:c r="I30" s="8"/>
      <x:c r="J30" s="8"/>
      <x:c r="K30" s="9">
        <x:f>SUM(K26:K29)</x:f>
        <x:v>0</x:v>
      </x:c>
      <x:c r="L30" s="9">
        <x:f>SUM(L26:L29)</x:f>
        <x:v>0</x:v>
      </x:c>
      <x:c r="M30" s="10">
        <x:f>SUM(M26:M29)</x:f>
        <x:v>0</x:v>
      </x:c>
      <x:c r="N30" s="11"/>
      <x:c r="V30" s="1"/>
    </x:row>
    <x:row r="31" spans="1:22" s="2" customFormat="1" ht="20.100000000000001" customHeight="1">
      <x:c r="A31" s="301" t="s">
        <x:v>149</x:v>
      </x:c>
      <x:c r="B31" s="3" t="s">
        <x:v>185</x:v>
      </x:c>
      <x:c r="C31" s="3" t="s">
        <x:v>149</x:v>
      </x:c>
      <x:c r="D31" s="163">
        <x:v>1082970</x:v>
      </x:c>
      <x:c r="E31" s="44"/>
      <x:c r="F31" s="5">
        <x:f>+D31+E31</x:f>
        <x:v>1082970</x:v>
      </x:c>
      <x:c r="G31" s="6"/>
      <x:c r="H31" s="301" t="s">
        <x:v>149</x:v>
      </x:c>
      <x:c r="I31" s="3" t="s">
        <x:v>169</x:v>
      </x:c>
      <x:c r="J31" s="3" t="s">
        <x:v>149</x:v>
      </x:c>
      <x:c r="K31" s="4"/>
      <x:c r="L31" s="4"/>
      <x:c r="M31" s="5">
        <x:f t="shared" ref="M31:M39" si="4">+K31+L31</x:f>
        <x:v>0</x:v>
      </x:c>
      <x:c r="N31" s="6"/>
      <x:c r="V31" s="1"/>
    </x:row>
    <x:row r="32" spans="1:22" s="2" customFormat="1" ht="20.100000000000001" customHeight="1">
      <x:c r="A32" s="299"/>
      <x:c r="B32" s="3" t="s">
        <x:v>1274</x:v>
      </x:c>
      <x:c r="C32" s="3" t="s">
        <x:v>962</x:v>
      </x:c>
      <x:c r="D32" s="163">
        <x:v>521090</x:v>
      </x:c>
      <x:c r="E32" s="4">
        <x:f>+D32*0.1+1</x:f>
        <x:v>52110</x:v>
      </x:c>
      <x:c r="F32" s="5">
        <x:f>+D32+E32</x:f>
        <x:v>573200</x:v>
      </x:c>
      <x:c r="G32" s="6"/>
      <x:c r="H32" s="299"/>
      <x:c r="I32" s="3" t="s">
        <x:v>1205</x:v>
      </x:c>
      <x:c r="J32" s="3" t="s">
        <x:v>28</x:v>
      </x:c>
      <x:c r="K32" s="4">
        <x:v>27272</x:v>
      </x:c>
      <x:c r="L32" s="4">
        <x:f>+K32*0.1+1</x:f>
        <x:v>2728.2000000000003</x:v>
      </x:c>
      <x:c r="M32" s="5">
        <x:f t="shared" si="4"/>
        <x:v>30000.200000000001</x:v>
      </x:c>
      <x:c r="N32" s="6"/>
      <x:c r="V32" s="1"/>
    </x:row>
    <x:row r="33" spans="1:22" s="2" customFormat="1" ht="20.100000000000001" customHeight="1">
      <x:c r="A33" s="299"/>
      <x:c r="B33" s="3" t="s">
        <x:v>1313</x:v>
      </x:c>
      <x:c r="C33" s="3" t="s">
        <x:v>825</x:v>
      </x:c>
      <x:c r="D33" s="163">
        <x:v>42500</x:v>
      </x:c>
      <x:c r="E33" s="4">
        <x:f>+D33*0.1</x:f>
        <x:v>4250</x:v>
      </x:c>
      <x:c r="F33" s="5">
        <x:f t="shared" ref="F33:F41" si="5">+D33+E33</x:f>
        <x:v>46750</x:v>
      </x:c>
      <x:c r="G33" s="6"/>
      <x:c r="H33" s="299"/>
      <x:c r="I33" s="3" t="s">
        <x:v>1120</x:v>
      </x:c>
      <x:c r="J33" s="3" t="s">
        <x:v>167</x:v>
      </x:c>
      <x:c r="K33" s="4"/>
      <x:c r="L33" s="4">
        <x:f>+K33*0.1</x:f>
        <x:v>0</x:v>
      </x:c>
      <x:c r="M33" s="5">
        <x:f t="shared" si="4"/>
        <x:v>0</x:v>
      </x:c>
      <x:c r="N33" s="6"/>
      <x:c r="V33" s="1"/>
    </x:row>
    <x:row r="34" spans="1:22" s="2" customFormat="1" ht="20.100000000000001" customHeight="1">
      <x:c r="A34" s="299"/>
      <x:c r="B34" s="3" t="s">
        <x:v>994</x:v>
      </x:c>
      <x:c r="C34" s="3" t="s">
        <x:v>8</x:v>
      </x:c>
      <x:c r="D34" s="163">
        <x:v>420001</x:v>
      </x:c>
      <x:c r="E34" s="4">
        <x:v>41999</x:v>
      </x:c>
      <x:c r="F34" s="5">
        <x:f t="shared" si="5"/>
        <x:v>462000</x:v>
      </x:c>
      <x:c r="G34" s="6"/>
      <x:c r="H34" s="299"/>
      <x:c r="I34" s="3" t="s">
        <x:v>951</x:v>
      </x:c>
      <x:c r="J34" s="3" t="s">
        <x:v>1584</x:v>
      </x:c>
      <x:c r="K34" s="4">
        <x:v>247700</x:v>
      </x:c>
      <x:c r="L34" s="4"/>
      <x:c r="M34" s="5">
        <x:f t="shared" si="4"/>
        <x:v>247700</x:v>
      </x:c>
      <x:c r="N34" s="6" t="s">
        <x:v>241</x:v>
      </x:c>
      <x:c r="V34" s="1"/>
    </x:row>
    <x:row r="35" spans="1:22" s="2" customFormat="1" ht="20.100000000000001" customHeight="1">
      <x:c r="A35" s="299"/>
      <x:c r="B35" s="3" t="s">
        <x:v>1680</x:v>
      </x:c>
      <x:c r="C35" s="3" t="s">
        <x:v>1695</x:v>
      </x:c>
      <x:c r="D35" s="163">
        <x:v>100000</x:v>
      </x:c>
      <x:c r="E35" s="4">
        <x:f>+D35*0.1</x:f>
        <x:v>10000</x:v>
      </x:c>
      <x:c r="F35" s="5">
        <x:f t="shared" si="5"/>
        <x:v>110000</x:v>
      </x:c>
      <x:c r="G35" s="6"/>
      <x:c r="H35" s="299"/>
      <x:c r="I35" s="3"/>
      <x:c r="J35" s="3"/>
      <x:c r="K35" s="4"/>
      <x:c r="L35" s="4">
        <x:f>+K35*0.1</x:f>
        <x:v>0</x:v>
      </x:c>
      <x:c r="M35" s="5">
        <x:f t="shared" si="4"/>
        <x:v>0</x:v>
      </x:c>
      <x:c r="N35" s="6"/>
      <x:c r="V35" s="1"/>
    </x:row>
    <x:row r="36" spans="1:22" s="2" customFormat="1" ht="20.100000000000001" customHeight="1">
      <x:c r="A36" s="299"/>
      <x:c r="B36" s="3" t="s">
        <x:v>247</x:v>
      </x:c>
      <x:c r="C36" s="3" t="s">
        <x:v>231</x:v>
      </x:c>
      <x:c r="D36" s="163">
        <x:v>23500</x:v>
      </x:c>
      <x:c r="E36" s="4">
        <x:f>+D36*0.1</x:f>
        <x:v>2350</x:v>
      </x:c>
      <x:c r="F36" s="5">
        <x:f t="shared" si="5"/>
        <x:v>25850</x:v>
      </x:c>
      <x:c r="G36" s="146" t="s">
        <x:v>1451</x:v>
      </x:c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  <x:c r="V36" s="1"/>
    </x:row>
    <x:row r="37" spans="1:22" s="2" customFormat="1" ht="20.100000000000001" customHeight="1">
      <x:c r="A37" s="299"/>
      <x:c r="B37" s="3" t="s">
        <x:v>1304</x:v>
      </x:c>
      <x:c r="C37" s="3" t="s">
        <x:v>167</x:v>
      </x:c>
      <x:c r="D37" s="163">
        <x:v>369000</x:v>
      </x:c>
      <x:c r="E37" s="4">
        <x:f>+D37*0.1</x:f>
        <x:v>36900</x:v>
      </x:c>
      <x:c r="F37" s="5">
        <x:f t="shared" si="5"/>
        <x:v>405900</x:v>
      </x:c>
      <x:c r="G37" s="146"/>
      <x:c r="H37" s="299"/>
      <x:c r="I37" s="3"/>
      <x:c r="J37" s="3"/>
      <x:c r="K37" s="4"/>
      <x:c r="L37" s="209">
        <x:f>+INT(K37*0.1)</x:f>
        <x:v>0</x:v>
      </x:c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238</x:v>
      </x:c>
      <x:c r="C38" s="3" t="s">
        <x:v>405</x:v>
      </x:c>
      <x:c r="D38" s="4">
        <x:v>420000</x:v>
      </x:c>
      <x:c r="E38" s="4"/>
      <x:c r="F38" s="5">
        <x:f t="shared" si="5"/>
        <x:v>420000</x:v>
      </x:c>
      <x:c r="G38" s="146" t="s">
        <x:v>185</x:v>
      </x:c>
      <x:c r="H38" s="299"/>
      <x:c r="I38" s="3"/>
      <x:c r="J38" s="3"/>
      <x:c r="K38" s="4"/>
      <x:c r="L38" s="209"/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 t="s">
        <x:v>270</x:v>
      </x:c>
      <x:c r="C39" s="3" t="s">
        <x:v>134</x:v>
      </x:c>
      <x:c r="D39" s="4">
        <x:v>290000</x:v>
      </x:c>
      <x:c r="E39" s="4"/>
      <x:c r="F39" s="5">
        <x:f t="shared" si="5"/>
        <x:v>290000</x:v>
      </x:c>
      <x:c r="G39" s="146" t="s">
        <x:v>271</x:v>
      </x:c>
      <x:c r="H39" s="299"/>
      <x:c r="I39" s="3"/>
      <x:c r="J39" s="3"/>
      <x:c r="K39" s="4"/>
      <x:c r="L39" s="4">
        <x:f>+K39*0.1</x:f>
        <x:v>0</x:v>
      </x:c>
      <x:c r="M39" s="5">
        <x:f t="shared" si="4"/>
        <x:v>0</x:v>
      </x:c>
      <x:c r="N39" s="6"/>
      <x:c r="V39" s="1"/>
    </x:row>
    <x:row r="40" spans="1:22" s="2" customFormat="1" ht="20.100000000000001" customHeight="1">
      <x:c r="A40" s="299"/>
      <x:c r="B40" s="3" t="s">
        <x:v>1610</x:v>
      </x:c>
      <x:c r="C40" s="3" t="s">
        <x:v>300</x:v>
      </x:c>
      <x:c r="D40" s="163">
        <x:v>173545</x:v>
      </x:c>
      <x:c r="E40" s="4">
        <x:v>17355</x:v>
      </x:c>
      <x:c r="F40" s="5">
        <x:f t="shared" si="5"/>
        <x:v>190900</x:v>
      </x:c>
      <x:c r="G40" s="146"/>
      <x:c r="H40" s="299"/>
      <x:c r="I40" s="3"/>
      <x:c r="J40" s="3"/>
      <x:c r="K40" s="4"/>
      <x:c r="L40" s="4"/>
      <x:c r="M40" s="5"/>
      <x:c r="N40" s="6"/>
      <x:c r="V40" s="1"/>
    </x:row>
    <x:row r="41" spans="1:22" s="2" customFormat="1" ht="20.100000000000001" customHeight="1">
      <x:c r="A41" s="300"/>
      <x:c r="B41" s="3" t="s">
        <x:v>1332</x:v>
      </x:c>
      <x:c r="C41" s="3" t="s">
        <x:v>300</x:v>
      </x:c>
      <x:c r="D41" s="163">
        <x:v>737500</x:v>
      </x:c>
      <x:c r="E41" s="4">
        <x:f>+D41*0.1</x:f>
        <x:v>73750</x:v>
      </x:c>
      <x:c r="F41" s="5">
        <x:f t="shared" si="5"/>
        <x:v>811250</x:v>
      </x:c>
      <x:c r="G41" s="6"/>
      <x:c r="H41" s="300"/>
      <x:c r="I41" s="3"/>
      <x:c r="J41" s="3"/>
      <x:c r="K41" s="4"/>
      <x:c r="L41" s="4"/>
      <x:c r="M41" s="5">
        <x:f>+K41+L41</x:f>
        <x:v>0</x:v>
      </x:c>
      <x:c r="N41" s="6"/>
      <x:c r="V41" s="1"/>
    </x:row>
    <x:row r="42" spans="1:22" s="2" customFormat="1" ht="20.100000000000001" customHeight="1">
      <x:c r="A42" s="7" t="s">
        <x:v>155</x:v>
      </x:c>
      <x:c r="B42" s="8"/>
      <x:c r="C42" s="8"/>
      <x:c r="D42" s="9">
        <x:f>SUM(D31:D41)</x:f>
        <x:v>4180106</x:v>
      </x:c>
      <x:c r="E42" s="9">
        <x:f>SUM(E31:E41)</x:f>
        <x:v>238714</x:v>
      </x:c>
      <x:c r="F42" s="10">
        <x:f>SUM(F31:F41)</x:f>
        <x:v>4418820</x:v>
      </x:c>
      <x:c r="G42" s="11"/>
      <x:c r="H42" s="7"/>
      <x:c r="I42" s="8"/>
      <x:c r="J42" s="8"/>
      <x:c r="K42" s="9">
        <x:f>SUM(K31:K41)</x:f>
        <x:v>274972</x:v>
      </x:c>
      <x:c r="L42" s="9">
        <x:f>SUM(L31:L41)</x:f>
        <x:v>2728.2000000000003</x:v>
      </x:c>
      <x:c r="M42" s="10">
        <x:f>SUM(M31:M41)</x:f>
        <x:v>277700.20000000001</x:v>
      </x:c>
      <x:c r="N42" s="11"/>
      <x:c r="V42" s="1"/>
    </x:row>
    <x:row r="43" spans="1:22" s="2" customFormat="1" ht="20.100000000000001" customHeight="1">
      <x:c r="A43" s="12" t="s">
        <x:v>1690</x:v>
      </x:c>
      <x:c r="B43" s="13"/>
      <x:c r="C43" s="13"/>
      <x:c r="D43" s="14">
        <x:f>+D18+D25+D30+D42</x:f>
        <x:v>210110476</x:v>
      </x:c>
      <x:c r="E43" s="14">
        <x:f>+E18+E25+E30+E42</x:f>
        <x:v>9568251</x:v>
      </x:c>
      <x:c r="F43" s="15">
        <x:f>+F18+F25+F30+F42</x:f>
        <x:v>219678727</x:v>
      </x:c>
      <x:c r="G43" s="16"/>
      <x:c r="H43" s="12"/>
      <x:c r="I43" s="13"/>
      <x:c r="J43" s="13"/>
      <x:c r="K43" s="14">
        <x:f>+K18+K25+K30+K42</x:f>
        <x:v>2575172</x:v>
      </x:c>
      <x:c r="L43" s="14">
        <x:f>+L18+L25+L30+L42</x:f>
        <x:v>127748.2</x:v>
      </x:c>
      <x:c r="M43" s="15">
        <x:f>+M18+M25+M30+M42</x:f>
        <x:v>2702920.2000000002</x:v>
      </x:c>
      <x:c r="N43" s="16"/>
      <x:c r="V43" s="1"/>
    </x:row>
    <x:row r="44" spans="1:22" s="2" customFormat="1" ht="20.100000000000001" customHeight="1">
      <x:c r="A44" s="23" t="s">
        <x:v>35</x:v>
      </x:c>
      <x:c r="B44" s="24"/>
      <x:c r="C44" s="24"/>
      <x:c r="D44" s="25">
        <x:f>+D4-D43</x:f>
        <x:v>72989524</x:v>
      </x:c>
      <x:c r="E44" s="25">
        <x:f>+E4-E43</x:f>
        <x:v>-668251</x:v>
      </x:c>
      <x:c r="F44" s="26">
        <x:f>+F4-F43</x:f>
        <x:v>72321273</x:v>
      </x:c>
      <x:c r="G44" s="27"/>
      <x:c r="H44" s="23"/>
      <x:c r="I44" s="24"/>
      <x:c r="J44" s="24"/>
      <x:c r="K44" s="25">
        <x:f>+K4-K43</x:f>
        <x:v>44545052</x:v>
      </x:c>
      <x:c r="L44" s="25">
        <x:f>+L4-L43</x:f>
        <x:v>-15972.199999999997</x:v>
      </x:c>
      <x:c r="M44" s="26">
        <x:f>+M4-M43</x:f>
        <x:v>44529079.799999997</x:v>
      </x:c>
      <x:c r="N44" s="27"/>
      <x:c r="V44" s="1"/>
    </x:row>
    <x:row r="45" spans="1:22" s="2" customFormat="1" ht="20.100000000000001" customHeight="1">
      <x:c r="A45" s="302" t="s">
        <x:v>410</x:v>
      </x:c>
      <x:c r="B45" s="303"/>
      <x:c r="C45" s="303"/>
      <x:c r="D45" s="303"/>
      <x:c r="E45" s="303"/>
      <x:c r="F45" s="304"/>
      <x:c r="G45" s="305"/>
      <x:c r="H45" s="302" t="s">
        <x:v>789</x:v>
      </x:c>
      <x:c r="I45" s="303"/>
      <x:c r="J45" s="303"/>
      <x:c r="K45" s="303"/>
      <x:c r="L45" s="303"/>
      <x:c r="M45" s="304"/>
      <x:c r="N45" s="305"/>
      <x:c r="V45" s="1"/>
    </x:row>
    <x:row r="46" spans="1:22" s="2" customFormat="1" ht="20.100000000000001" customHeight="1">
      <x:c r="A46" s="29" t="s">
        <x:v>147</x:v>
      </x:c>
      <x:c r="B46" s="224" t="s">
        <x:v>144</x:v>
      </x:c>
      <x:c r="C46" s="224" t="s">
        <x:v>150</x:v>
      </x:c>
      <x:c r="D46" s="31" t="s">
        <x:v>145</x:v>
      </x:c>
      <x:c r="E46" s="31" t="s">
        <x:v>152</x:v>
      </x:c>
      <x:c r="F46" s="31" t="s">
        <x:v>146</x:v>
      </x:c>
      <x:c r="G46" s="34" t="s">
        <x:v>154</x:v>
      </x:c>
      <x:c r="H46" s="29" t="s">
        <x:v>147</x:v>
      </x:c>
      <x:c r="I46" s="224" t="s">
        <x:v>144</x:v>
      </x:c>
      <x:c r="J46" s="224" t="s">
        <x:v>150</x:v>
      </x:c>
      <x:c r="K46" s="31" t="s">
        <x:v>145</x:v>
      </x:c>
      <x:c r="L46" s="31" t="s">
        <x:v>152</x:v>
      </x:c>
      <x:c r="M46" s="32" t="s">
        <x:v>146</x:v>
      </x:c>
      <x:c r="N46" s="33" t="s">
        <x:v>154</x:v>
      </x:c>
      <x:c r="V46" s="1"/>
    </x:row>
    <x:row r="47" spans="1:22" s="2" customFormat="1" ht="20.100000000000001" customHeight="1">
      <x:c r="A47" s="41" t="s">
        <x:v>151</x:v>
      </x:c>
      <x:c r="B47" s="149" t="s">
        <x:v>1679</x:v>
      </x:c>
      <x:c r="C47" s="149" t="s">
        <x:v>488</x:v>
      </x:c>
      <x:c r="D47" s="150">
        <x:f>85000000+43500000+78800000</x:f>
        <x:v>207300000</x:v>
      </x:c>
      <x:c r="E47" s="150">
        <x:f>+D47*0.1</x:f>
        <x:v>20730000</x:v>
      </x:c>
      <x:c r="F47" s="40">
        <x:f>+D47+E47</x:f>
        <x:v>228030000</x:v>
      </x:c>
      <x:c r="G47" s="42" t="s">
        <x:v>432</x:v>
      </x:c>
      <x:c r="H47" s="223" t="s">
        <x:v>151</x:v>
      </x:c>
      <x:c r="I47" s="38" t="s">
        <x:v>1679</x:v>
      </x:c>
      <x:c r="J47" s="38" t="s">
        <x:v>156</x:v>
      </x:c>
      <x:c r="K47" s="39">
        <x:v>157500000</x:v>
      </x:c>
      <x:c r="L47" s="39">
        <x:f>+K47*0.1</x:f>
        <x:v>15750000</x:v>
      </x:c>
      <x:c r="M47" s="40">
        <x:f t="shared" ref="M47:M54" si="6">+K47+L47</x:f>
        <x:v>173250000</x:v>
      </x:c>
      <x:c r="N47" s="18"/>
      <x:c r="V47" s="1"/>
    </x:row>
    <x:row r="48" spans="1:22" s="2" customFormat="1" ht="20.100000000000001" customHeight="1">
      <x:c r="A48" s="298" t="s">
        <x:v>148</x:v>
      </x:c>
      <x:c r="B48" s="147" t="s">
        <x:v>867</x:v>
      </x:c>
      <x:c r="C48" s="3" t="s">
        <x:v>369</x:v>
      </x:c>
      <x:c r="D48" s="201">
        <x:v>120352850</x:v>
      </x:c>
      <x:c r="E48" s="148">
        <x:f>+D48*0.1</x:f>
        <x:v>12035285</x:v>
      </x:c>
      <x:c r="F48" s="94">
        <x:f t="shared" ref="F48:F51" si="7">+D48+E48</x:f>
        <x:v>132388135</x:v>
      </x:c>
      <x:c r="G48" s="22" t="s">
        <x:v>1532</x:v>
      </x:c>
      <x:c r="H48" s="298" t="s">
        <x:v>148</x:v>
      </x:c>
      <x:c r="I48" s="54" t="s">
        <x:v>867</x:v>
      </x:c>
      <x:c r="J48" s="54" t="s">
        <x:v>374</x:v>
      </x:c>
      <x:c r="K48" s="228">
        <x:v>13051500</x:v>
      </x:c>
      <x:c r="L48" s="93">
        <x:f>+K48*0.1</x:f>
        <x:v>1305150</x:v>
      </x:c>
      <x:c r="M48" s="94">
        <x:f t="shared" si="6"/>
        <x:v>14356650</x:v>
      </x:c>
      <x:c r="N48" s="95"/>
      <x:c r="V48" s="1"/>
    </x:row>
    <x:row r="49" spans="1:22" s="2" customFormat="1" ht="20.100000000000001" customHeight="1">
      <x:c r="A49" s="299"/>
      <x:c r="B49" s="147" t="s">
        <x:v>867</x:v>
      </x:c>
      <x:c r="C49" s="3" t="s">
        <x:v>369</x:v>
      </x:c>
      <x:c r="D49" s="201">
        <x:v>30158540</x:v>
      </x:c>
      <x:c r="E49" s="148">
        <x:f>+D49*0.1</x:f>
        <x:v>3015854</x:v>
      </x:c>
      <x:c r="F49" s="4">
        <x:f t="shared" si="7"/>
        <x:v>33174394</x:v>
      </x:c>
      <x:c r="G49" s="6" t="s">
        <x:v>1520</x:v>
      </x:c>
      <x:c r="H49" s="299"/>
      <x:c r="I49" s="162" t="s">
        <x:v>1348</x:v>
      </x:c>
      <x:c r="J49" s="162"/>
      <x:c r="K49" s="163"/>
      <x:c r="L49" s="163"/>
      <x:c r="M49" s="164">
        <x:f t="shared" si="6"/>
        <x:v>0</x:v>
      </x:c>
      <x:c r="N49" s="158"/>
      <x:c r="V49" s="1"/>
    </x:row>
    <x:row r="50" spans="1:22" s="2" customFormat="1" ht="20.100000000000001" customHeight="1">
      <x:c r="A50" s="299"/>
      <x:c r="B50" s="147" t="s">
        <x:v>838</x:v>
      </x:c>
      <x:c r="C50" s="3" t="s">
        <x:v>1551</x:v>
      </x:c>
      <x:c r="D50" s="163">
        <x:v>168000</x:v>
      </x:c>
      <x:c r="E50" s="4">
        <x:f>+D50*0.1</x:f>
        <x:v>16800</x:v>
      </x:c>
      <x:c r="F50" s="5">
        <x:f t="shared" si="7"/>
        <x:v>184800</x:v>
      </x:c>
      <x:c r="G50" s="6"/>
      <x:c r="H50" s="299"/>
      <x:c r="I50" s="3" t="s">
        <x:v>838</x:v>
      </x:c>
      <x:c r="J50" s="3" t="s">
        <x:v>305</x:v>
      </x:c>
      <x:c r="K50" s="163">
        <x:v>1508500</x:v>
      </x:c>
      <x:c r="L50" s="4">
        <x:f t="shared" ref="L50:L55" si="8">+K50*0.1</x:f>
        <x:v>150850</x:v>
      </x:c>
      <x:c r="M50" s="5">
        <x:f t="shared" si="6"/>
        <x:v>1659350</x:v>
      </x:c>
      <x:c r="N50" s="6"/>
      <x:c r="V50" s="1"/>
    </x:row>
    <x:row r="51" spans="1:22" s="2" customFormat="1" ht="20.100000000000001" customHeight="1">
      <x:c r="A51" s="299"/>
      <x:c r="B51" s="3" t="s">
        <x:v>1315</x:v>
      </x:c>
      <x:c r="C51" s="3" t="s">
        <x:v>1711</x:v>
      </x:c>
      <x:c r="D51" s="163">
        <x:v>3507923</x:v>
      </x:c>
      <x:c r="E51" s="4">
        <x:f>+D51*0.1-1</x:f>
        <x:v>350791.30000000005</x:v>
      </x:c>
      <x:c r="F51" s="5">
        <x:f t="shared" si="7"/>
        <x:v>3858714.2999999998</x:v>
      </x:c>
      <x:c r="G51" s="6" t="s">
        <x:v>1520</x:v>
      </x:c>
      <x:c r="H51" s="299"/>
      <x:c r="I51" s="3" t="s">
        <x:v>1119</x:v>
      </x:c>
      <x:c r="J51" s="3" t="s">
        <x:v>1386</x:v>
      </x:c>
      <x:c r="K51" s="163">
        <x:v>2140000</x:v>
      </x:c>
      <x:c r="L51" s="4">
        <x:f t="shared" si="8"/>
        <x:v>214000</x:v>
      </x:c>
      <x:c r="M51" s="5">
        <x:f t="shared" si="6"/>
        <x:v>2354000</x:v>
      </x:c>
      <x:c r="N51" s="6"/>
      <x:c r="V51" s="1"/>
    </x:row>
    <x:row r="52" spans="1:22" s="2" customFormat="1" ht="20.100000000000001" customHeight="1">
      <x:c r="A52" s="299"/>
      <x:c r="B52" s="3" t="s">
        <x:v>1378</x:v>
      </x:c>
      <x:c r="C52" s="3" t="s">
        <x:v>1536</x:v>
      </x:c>
      <x:c r="D52" s="163">
        <x:v>1208930</x:v>
      </x:c>
      <x:c r="E52" s="4">
        <x:f t="shared" ref="E52:E63" si="9">+D52*0.1</x:f>
        <x:v>120893</x:v>
      </x:c>
      <x:c r="F52" s="5">
        <x:f t="shared" ref="F52:F59" si="10">+D52+E52</x:f>
        <x:v>1329823</x:v>
      </x:c>
      <x:c r="G52" s="6" t="s">
        <x:v>1520</x:v>
      </x:c>
      <x:c r="H52" s="299"/>
      <x:c r="I52" s="3" t="s">
        <x:v>938</x:v>
      </x:c>
      <x:c r="J52" s="3" t="s">
        <x:v>1094</x:v>
      </x:c>
      <x:c r="K52" s="163">
        <x:v>5204000</x:v>
      </x:c>
      <x:c r="L52" s="4">
        <x:f t="shared" si="8"/>
        <x:v>520400</x:v>
      </x:c>
      <x:c r="M52" s="5">
        <x:f t="shared" si="6"/>
        <x:v>5724400</x:v>
      </x:c>
      <x:c r="N52" s="6" t="s">
        <x:v>1431</x:v>
      </x:c>
      <x:c r="V52" s="1"/>
    </x:row>
    <x:row r="53" spans="1:22" s="2" customFormat="1" ht="20.100000000000001" customHeight="1">
      <x:c r="A53" s="299"/>
      <x:c r="B53" s="3" t="s">
        <x:v>938</x:v>
      </x:c>
      <x:c r="C53" s="3" t="s">
        <x:v>191</x:v>
      </x:c>
      <x:c r="D53" s="163">
        <x:v>390000</x:v>
      </x:c>
      <x:c r="E53" s="4">
        <x:f t="shared" si="9"/>
        <x:v>39000</x:v>
      </x:c>
      <x:c r="F53" s="5">
        <x:f t="shared" si="10"/>
        <x:v>429000</x:v>
      </x:c>
      <x:c r="G53" s="6" t="s">
        <x:v>1423</x:v>
      </x:c>
      <x:c r="H53" s="299"/>
      <x:c r="I53" s="3" t="s">
        <x:v>864</x:v>
      </x:c>
      <x:c r="J53" s="3" t="s">
        <x:v>124</x:v>
      </x:c>
      <x:c r="K53" s="163">
        <x:v>27860810</x:v>
      </x:c>
      <x:c r="L53" s="4">
        <x:f t="shared" si="8"/>
        <x:v>2786081</x:v>
      </x:c>
      <x:c r="M53" s="5">
        <x:f t="shared" si="6"/>
        <x:v>30646891</x:v>
      </x:c>
      <x:c r="N53" s="6"/>
      <x:c r="V53" s="1"/>
    </x:row>
    <x:row r="54" spans="1:22" s="2" customFormat="1" ht="20.100000000000001" customHeight="1">
      <x:c r="A54" s="299"/>
      <x:c r="B54" s="3" t="s">
        <x:v>864</x:v>
      </x:c>
      <x:c r="C54" s="3"/>
      <x:c r="D54" s="163">
        <x:v>3137490</x:v>
      </x:c>
      <x:c r="E54" s="4">
        <x:f t="shared" si="9"/>
        <x:v>313749</x:v>
      </x:c>
      <x:c r="F54" s="5">
        <x:f t="shared" si="10"/>
        <x:v>3451239</x:v>
      </x:c>
      <x:c r="G54" s="6"/>
      <x:c r="H54" s="299"/>
      <x:c r="I54" s="3" t="s">
        <x:v>1058</x:v>
      </x:c>
      <x:c r="J54" s="3" t="s">
        <x:v>554</x:v>
      </x:c>
      <x:c r="K54" s="163">
        <x:v>6075200</x:v>
      </x:c>
      <x:c r="L54" s="4">
        <x:f t="shared" si="8"/>
        <x:v>607520</x:v>
      </x:c>
      <x:c r="M54" s="5">
        <x:f t="shared" si="6"/>
        <x:v>6682720</x:v>
      </x:c>
      <x:c r="N54" s="6"/>
      <x:c r="V54" s="1"/>
    </x:row>
    <x:row r="55" spans="1:22" s="2" customFormat="1" ht="20.100000000000001" customHeight="1">
      <x:c r="A55" s="299"/>
      <x:c r="B55" s="3" t="s">
        <x:v>864</x:v>
      </x:c>
      <x:c r="C55" s="3"/>
      <x:c r="D55" s="163">
        <x:v>840580</x:v>
      </x:c>
      <x:c r="E55" s="4">
        <x:f t="shared" si="9"/>
        <x:v>84058</x:v>
      </x:c>
      <x:c r="F55" s="5">
        <x:f t="shared" si="10"/>
        <x:v>924638</x:v>
      </x:c>
      <x:c r="G55" s="6" t="s">
        <x:v>1520</x:v>
      </x:c>
      <x:c r="H55" s="299"/>
      <x:c r="I55" s="3" t="s">
        <x:v>1378</x:v>
      </x:c>
      <x:c r="J55" s="3" t="s">
        <x:v>557</x:v>
      </x:c>
      <x:c r="K55" s="163">
        <x:v>5456500</x:v>
      </x:c>
      <x:c r="L55" s="4">
        <x:f t="shared" si="8"/>
        <x:v>545650</x:v>
      </x:c>
      <x:c r="M55" s="5">
        <x:f>+K55+L55</x:f>
        <x:v>6002150</x:v>
      </x:c>
      <x:c r="N55" s="6"/>
      <x:c r="V55" s="1"/>
    </x:row>
    <x:row r="56" spans="1:22" s="2" customFormat="1" ht="20.100000000000001" customHeight="1">
      <x:c r="A56" s="299"/>
      <x:c r="B56" s="3" t="s">
        <x:v>228</x:v>
      </x:c>
      <x:c r="C56" s="3" t="s">
        <x:v>1499</x:v>
      </x:c>
      <x:c r="D56" s="163">
        <x:v>1615500</x:v>
      </x:c>
      <x:c r="E56" s="4">
        <x:f t="shared" si="9"/>
        <x:v>161550</x:v>
      </x:c>
      <x:c r="F56" s="5">
        <x:f t="shared" si="10"/>
        <x:v>1777050</x:v>
      </x:c>
      <x:c r="G56" s="6"/>
      <x:c r="H56" s="299"/>
      <x:c r="I56" s="3" t="s">
        <x:v>1315</x:v>
      </x:c>
      <x:c r="J56" s="3"/>
      <x:c r="K56" s="163"/>
      <x:c r="L56" s="4"/>
      <x:c r="M56" s="5">
        <x:f>+K56+L56</x:f>
        <x:v>0</x:v>
      </x:c>
      <x:c r="N56" s="6"/>
      <x:c r="V56" s="1"/>
    </x:row>
    <x:row r="57" spans="1:22" s="2" customFormat="1" ht="20.100000000000001" customHeight="1">
      <x:c r="A57" s="299"/>
      <x:c r="B57" s="3" t="s">
        <x:v>1070</x:v>
      </x:c>
      <x:c r="C57" s="3" t="s">
        <x:v>1579</x:v>
      </x:c>
      <x:c r="D57" s="163">
        <x:v>8642000</x:v>
      </x:c>
      <x:c r="E57" s="4">
        <x:f t="shared" si="9"/>
        <x:v>864200</x:v>
      </x:c>
      <x:c r="F57" s="5">
        <x:f t="shared" si="10"/>
        <x:v>9506200</x:v>
      </x:c>
      <x:c r="G57" s="6"/>
      <x:c r="H57" s="299"/>
      <x:c r="I57" s="3" t="s">
        <x:v>846</x:v>
      </x:c>
      <x:c r="J57" s="3"/>
      <x:c r="K57" s="163"/>
      <x:c r="L57" s="4"/>
      <x:c r="M57" s="5">
        <x:f>+K57+L57</x:f>
        <x:v>0</x:v>
      </x:c>
      <x:c r="N57" s="6" t="s">
        <x:v>1431</x:v>
      </x:c>
      <x:c r="V57" s="1"/>
    </x:row>
    <x:row r="58" spans="1:22" s="2" customFormat="1" ht="20.100000000000001" customHeight="1">
      <x:c r="A58" s="299"/>
      <x:c r="B58" s="3" t="s">
        <x:v>1443</x:v>
      </x:c>
      <x:c r="C58" s="3" t="s">
        <x:v>179</x:v>
      </x:c>
      <x:c r="D58" s="163">
        <x:v>1713500</x:v>
      </x:c>
      <x:c r="E58" s="4">
        <x:f t="shared" si="9"/>
        <x:v>171350</x:v>
      </x:c>
      <x:c r="F58" s="5">
        <x:f t="shared" si="10"/>
        <x:v>1884850</x:v>
      </x:c>
      <x:c r="G58" s="6" t="s">
        <x:v>1520</x:v>
      </x:c>
      <x:c r="H58" s="299"/>
      <x:c r="I58" s="3" t="s">
        <x:v>846</x:v>
      </x:c>
      <x:c r="J58" s="3" t="s">
        <x:v>1549</x:v>
      </x:c>
      <x:c r="K58" s="163">
        <x:v>3132600</x:v>
      </x:c>
      <x:c r="L58" s="4">
        <x:f>+K58*0.1</x:f>
        <x:v>313260</x:v>
      </x:c>
      <x:c r="M58" s="5">
        <x:f>+K58+L58</x:f>
        <x:v>3445860</x:v>
      </x:c>
      <x:c r="N58" s="6"/>
      <x:c r="V58" s="1"/>
    </x:row>
    <x:row r="59" spans="1:22" s="2" customFormat="1" ht="20.100000000000001" customHeight="1">
      <x:c r="A59" s="299"/>
      <x:c r="B59" s="3" t="s">
        <x:v>1443</x:v>
      </x:c>
      <x:c r="C59" s="3" t="s">
        <x:v>179</x:v>
      </x:c>
      <x:c r="D59" s="163">
        <x:v>2908050</x:v>
      </x:c>
      <x:c r="E59" s="4">
        <x:f t="shared" si="9"/>
        <x:v>290805</x:v>
      </x:c>
      <x:c r="F59" s="5">
        <x:f t="shared" si="10"/>
        <x:v>3198855</x:v>
      </x:c>
      <x:c r="G59" s="6"/>
      <x:c r="H59" s="299"/>
      <x:c r="I59" s="3" t="s">
        <x:v>854</x:v>
      </x:c>
      <x:c r="J59" s="3" t="s">
        <x:v>1242</x:v>
      </x:c>
      <x:c r="K59" s="163">
        <x:v>146300</x:v>
      </x:c>
      <x:c r="L59" s="4">
        <x:f>+INT(K59*0.1)</x:f>
        <x:v>14630</x:v>
      </x:c>
      <x:c r="M59" s="5">
        <x:f>+K59+L59</x:f>
        <x:v>160930</x:v>
      </x:c>
      <x:c r="N59" s="6"/>
      <x:c r="V59" s="1"/>
    </x:row>
    <x:row r="60" spans="1:22" s="2" customFormat="1" ht="20.100000000000001" customHeight="1">
      <x:c r="A60" s="299"/>
      <x:c r="B60" s="3" t="s">
        <x:v>483</x:v>
      </x:c>
      <x:c r="C60" s="3" t="s">
        <x:v>544</x:v>
      </x:c>
      <x:c r="D60" s="227">
        <x:v>5428700</x:v>
      </x:c>
      <x:c r="E60" s="4">
        <x:f t="shared" si="9"/>
        <x:v>542870</x:v>
      </x:c>
      <x:c r="F60" s="5">
        <x:f>+D60+E60</x:f>
        <x:v>5971570</x:v>
      </x:c>
      <x:c r="G60" s="6"/>
      <x:c r="H60" s="299"/>
      <x:c r="I60" s="3"/>
      <x:c r="J60" s="3"/>
      <x:c r="K60" s="163"/>
      <x:c r="L60" s="4"/>
      <x:c r="M60" s="5"/>
      <x:c r="N60" s="6"/>
      <x:c r="V60" s="1"/>
    </x:row>
    <x:row r="61" spans="1:22" s="2" customFormat="1" ht="20.100000000000001" customHeight="1">
      <x:c r="A61" s="299"/>
      <x:c r="B61" s="129" t="s">
        <x:v>1039</x:v>
      </x:c>
      <x:c r="C61" s="3" t="s">
        <x:v>1560</x:v>
      </x:c>
      <x:c r="D61" s="227">
        <x:v>1272000</x:v>
      </x:c>
      <x:c r="E61" s="4">
        <x:f t="shared" si="9"/>
        <x:v>127200</x:v>
      </x:c>
      <x:c r="F61" s="5">
        <x:f>+D61+E61</x:f>
        <x:v>1399200</x:v>
      </x:c>
      <x:c r="G61" s="6"/>
      <x:c r="H61" s="299"/>
      <x:c r="I61" s="3"/>
      <x:c r="J61" s="3"/>
      <x:c r="K61" s="163"/>
      <x:c r="L61" s="4"/>
      <x:c r="M61" s="5"/>
      <x:c r="N61" s="6"/>
      <x:c r="V61" s="1"/>
    </x:row>
    <x:row r="62" spans="1:22" s="2" customFormat="1" ht="20.100000000000001" customHeight="1">
      <x:c r="A62" s="299"/>
      <x:c r="B62" s="129" t="s">
        <x:v>1039</x:v>
      </x:c>
      <x:c r="C62" s="129" t="s">
        <x:v>1521</x:v>
      </x:c>
      <x:c r="D62" s="163">
        <x:v>462000</x:v>
      </x:c>
      <x:c r="E62" s="4">
        <x:f t="shared" si="9"/>
        <x:v>46200</x:v>
      </x:c>
      <x:c r="F62" s="5">
        <x:f t="shared" ref="F62:F63" si="11">+D62+E62</x:f>
        <x:v>508200</x:v>
      </x:c>
      <x:c r="G62" s="6"/>
      <x:c r="H62" s="299"/>
      <x:c r="I62" s="3"/>
      <x:c r="J62" s="3"/>
      <x:c r="K62" s="163"/>
      <x:c r="L62" s="4"/>
      <x:c r="M62" s="5"/>
      <x:c r="N62" s="6"/>
      <x:c r="V62" s="1"/>
    </x:row>
    <x:row r="63" spans="1:22" s="2" customFormat="1" ht="20.100000000000001" customHeight="1">
      <x:c r="A63" s="299"/>
      <x:c r="B63" s="129" t="s">
        <x:v>846</x:v>
      </x:c>
      <x:c r="C63" s="129" t="s">
        <x:v>1576</x:v>
      </x:c>
      <x:c r="D63" s="163">
        <x:v>650000</x:v>
      </x:c>
      <x:c r="E63" s="4">
        <x:f t="shared" si="9"/>
        <x:v>65000</x:v>
      </x:c>
      <x:c r="F63" s="5">
        <x:f t="shared" si="11"/>
        <x:v>715000</x:v>
      </x:c>
      <x:c r="G63" s="6"/>
      <x:c r="H63" s="300"/>
      <x:c r="I63" s="3"/>
      <x:c r="J63" s="3"/>
      <x:c r="K63" s="163"/>
      <x:c r="L63" s="4"/>
      <x:c r="M63" s="5"/>
      <x:c r="N63" s="6"/>
      <x:c r="V63" s="1"/>
    </x:row>
    <x:row r="64" spans="1:22" s="2" customFormat="1" ht="20.100000000000001" customHeight="1">
      <x:c r="A64" s="7"/>
      <x:c r="B64" s="8"/>
      <x:c r="C64" s="8"/>
      <x:c r="D64" s="80">
        <x:f>SUM(D48:D63)</x:f>
        <x:v>182456063</x:v>
      </x:c>
      <x:c r="E64" s="9">
        <x:f>SUM(E48:E63)</x:f>
        <x:v>18245605.300000001</x:v>
      </x:c>
      <x:c r="F64" s="10">
        <x:f>SUM(F48:F63)</x:f>
        <x:v>200701668.30000001</x:v>
      </x:c>
      <x:c r="G64" s="11"/>
      <x:c r="H64" s="7" t="s">
        <x:v>155</x:v>
      </x:c>
      <x:c r="I64" s="8"/>
      <x:c r="J64" s="8"/>
      <x:c r="K64" s="80">
        <x:f>SUM(K48:K63)</x:f>
        <x:v>64575410</x:v>
      </x:c>
      <x:c r="L64" s="9">
        <x:f>SUM(L48:L63)</x:f>
        <x:v>6457541</x:v>
      </x:c>
      <x:c r="M64" s="10">
        <x:f>SUM(M48:M63)</x:f>
        <x:v>71032951</x:v>
      </x:c>
      <x:c r="N64" s="11"/>
      <x:c r="V64" s="1"/>
    </x:row>
    <x:row r="65" spans="1:22" s="2" customFormat="1" ht="20.100000000000001" customHeight="1">
      <x:c r="A65" s="301" t="s">
        <x:v>153</x:v>
      </x:c>
      <x:c r="B65" s="3" t="s">
        <x:v>1677</x:v>
      </x:c>
      <x:c r="C65" s="3" t="s">
        <x:v>1492</x:v>
      </x:c>
      <x:c r="D65" s="163">
        <x:v>53338000</x:v>
      </x:c>
      <x:c r="E65" s="4"/>
      <x:c r="F65" s="5">
        <x:f>+D65+E65</x:f>
        <x:v>53338000</x:v>
      </x:c>
      <x:c r="G65" s="6" t="s">
        <x:v>1423</x:v>
      </x:c>
      <x:c r="H65" s="301" t="s">
        <x:v>153</x:v>
      </x:c>
      <x:c r="I65" s="3" t="s">
        <x:v>1677</x:v>
      </x:c>
      <x:c r="J65" s="3" t="s">
        <x:v>1308</x:v>
      </x:c>
      <x:c r="K65" s="163">
        <x:v>42320000</x:v>
      </x:c>
      <x:c r="L65" s="44"/>
      <x:c r="M65" s="45">
        <x:f>+K65+L65</x:f>
        <x:v>42320000</x:v>
      </x:c>
      <x:c r="N65" s="37"/>
      <x:c r="V65" s="1"/>
    </x:row>
    <x:row r="66" spans="1:22" s="2" customFormat="1" ht="20.100000000000001" customHeight="1">
      <x:c r="A66" s="299"/>
      <x:c r="B66" s="3" t="s">
        <x:v>1677</x:v>
      </x:c>
      <x:c r="C66" s="3" t="s">
        <x:v>1604</x:v>
      </x:c>
      <x:c r="D66" s="163">
        <x:v>22901000</x:v>
      </x:c>
      <x:c r="E66" s="4"/>
      <x:c r="F66" s="5">
        <x:f>+D66+E66</x:f>
        <x:v>22901000</x:v>
      </x:c>
      <x:c r="G66" s="6" t="s">
        <x:v>1520</x:v>
      </x:c>
      <x:c r="H66" s="299"/>
      <x:c r="I66" s="3" t="s">
        <x:v>1241</x:v>
      </x:c>
      <x:c r="J66" s="3" t="s">
        <x:v>523</x:v>
      </x:c>
      <x:c r="K66" s="163">
        <x:f>3500000+3520000</x:f>
        <x:v>7020000</x:v>
      </x:c>
      <x:c r="L66" s="44">
        <x:v>350000</x:v>
      </x:c>
      <x:c r="M66" s="45">
        <x:f>+K66+L66</x:f>
        <x:v>7370000</x:v>
      </x:c>
      <x:c r="N66" s="37"/>
      <x:c r="V66" s="1"/>
    </x:row>
    <x:row r="67" spans="1:22" s="2" customFormat="1" ht="20.100000000000001" customHeight="1">
      <x:c r="A67" s="299"/>
      <x:c r="B67" s="3" t="s">
        <x:v>1581</x:v>
      </x:c>
      <x:c r="C67" s="3" t="s">
        <x:v>1585</x:v>
      </x:c>
      <x:c r="D67" s="163">
        <x:v>5000000</x:v>
      </x:c>
      <x:c r="E67" s="4">
        <x:f>+D67*0.1</x:f>
        <x:v>500000</x:v>
      </x:c>
      <x:c r="F67" s="5">
        <x:f>+D67+E67</x:f>
        <x:v>5500000</x:v>
      </x:c>
      <x:c r="G67" s="6" t="s">
        <x:v>1423</x:v>
      </x:c>
      <x:c r="H67" s="299"/>
      <x:c r="I67" s="3"/>
      <x:c r="J67" s="3"/>
      <x:c r="K67" s="163"/>
      <x:c r="L67" s="4">
        <x:f>+K67*0.1</x:f>
        <x:v>0</x:v>
      </x:c>
      <x:c r="M67" s="5">
        <x:f>+K67+L67</x:f>
        <x:v>0</x:v>
      </x:c>
      <x:c r="N67" s="6"/>
      <x:c r="V67" s="1"/>
    </x:row>
    <x:row r="68" spans="1:22" s="2" customFormat="1" ht="20.100000000000001" customHeight="1">
      <x:c r="A68" s="300"/>
      <x:c r="B68" s="3" t="s">
        <x:v>314</x:v>
      </x:c>
      <x:c r="C68" s="3" t="s">
        <x:v>1585</x:v>
      </x:c>
      <x:c r="D68" s="163">
        <x:v>4680000</x:v>
      </x:c>
      <x:c r="E68" s="4">
        <x:f>+D68*0.1</x:f>
        <x:v>468000</x:v>
      </x:c>
      <x:c r="F68" s="5">
        <x:f>+D68+E68</x:f>
        <x:v>5148000</x:v>
      </x:c>
      <x:c r="G68" s="6" t="s">
        <x:v>1423</x:v>
      </x:c>
      <x:c r="H68" s="300"/>
      <x:c r="I68" s="3"/>
      <x:c r="J68" s="3"/>
      <x:c r="K68" s="163"/>
      <x:c r="L68" s="4">
        <x:f>+K68*0.1</x:f>
        <x:v>0</x:v>
      </x:c>
      <x:c r="M68" s="5">
        <x:f>+K68+L68</x:f>
        <x:v>0</x:v>
      </x:c>
      <x:c r="N68" s="6"/>
      <x:c r="V68" s="1"/>
    </x:row>
    <x:row r="69" spans="1:22" s="2" customFormat="1" ht="20.100000000000001" customHeight="1">
      <x:c r="A69" s="7"/>
      <x:c r="B69" s="8"/>
      <x:c r="C69" s="8"/>
      <x:c r="D69" s="80">
        <x:f>SUM(D65:D68)</x:f>
        <x:v>85919000</x:v>
      </x:c>
      <x:c r="E69" s="9">
        <x:f>SUM(E65:E68)</x:f>
        <x:v>968000</x:v>
      </x:c>
      <x:c r="F69" s="10">
        <x:f>SUM(F65:F68)</x:f>
        <x:v>86887000</x:v>
      </x:c>
      <x:c r="G69" s="11"/>
      <x:c r="H69" s="7" t="s">
        <x:v>155</x:v>
      </x:c>
      <x:c r="I69" s="8"/>
      <x:c r="J69" s="8"/>
      <x:c r="K69" s="80">
        <x:f>SUM(K65:K68)</x:f>
        <x:v>49340000</x:v>
      </x:c>
      <x:c r="L69" s="9">
        <x:f>SUM(L65:L68)</x:f>
        <x:v>350000</x:v>
      </x:c>
      <x:c r="M69" s="10">
        <x:f>SUM(M65:M68)</x:f>
        <x:v>49690000</x:v>
      </x:c>
      <x:c r="N69" s="11"/>
      <x:c r="V69" s="1"/>
    </x:row>
    <x:row r="70" spans="1:22" s="2" customFormat="1" ht="20.100000000000001" customHeight="1">
      <x:c r="A70" s="301" t="s">
        <x:v>187</x:v>
      </x:c>
      <x:c r="B70" s="3" t="s">
        <x:v>1124</x:v>
      </x:c>
      <x:c r="C70" s="3" t="s">
        <x:v>1006</x:v>
      </x:c>
      <x:c r="D70" s="163">
        <x:v>1440000</x:v>
      </x:c>
      <x:c r="E70" s="4">
        <x:f t="shared" ref="E70:E76" si="12">+D70*0.1</x:f>
        <x:v>144000</x:v>
      </x:c>
      <x:c r="F70" s="5">
        <x:f t="shared" ref="F70:F76" si="13">+D70+E70</x:f>
        <x:v>1584000</x:v>
      </x:c>
      <x:c r="G70" s="6"/>
      <x:c r="H70" s="301" t="s">
        <x:v>187</x:v>
      </x:c>
      <x:c r="I70" s="3" t="s">
        <x:v>1461</x:v>
      </x:c>
      <x:c r="J70" s="3" t="s">
        <x:v>1006</x:v>
      </x:c>
      <x:c r="K70" s="163">
        <x:v>1350000</x:v>
      </x:c>
      <x:c r="L70" s="4">
        <x:f>+K70*0.1</x:f>
        <x:v>135000</x:v>
      </x:c>
      <x:c r="M70" s="5">
        <x:f>+K70+L70</x:f>
        <x:v>1485000</x:v>
      </x:c>
      <x:c r="N70" s="6" t="s">
        <x:v>277</x:v>
      </x:c>
      <x:c r="V70" s="1"/>
    </x:row>
    <x:row r="71" spans="1:22" s="2" customFormat="1" ht="20.100000000000001" customHeight="1">
      <x:c r="A71" s="299"/>
      <x:c r="B71" s="3" t="s">
        <x:v>307</x:v>
      </x:c>
      <x:c r="C71" s="3" t="s">
        <x:v>1478</x:v>
      </x:c>
      <x:c r="D71" s="163">
        <x:v>1280000</x:v>
      </x:c>
      <x:c r="E71" s="4">
        <x:f t="shared" si="12"/>
        <x:v>128000</x:v>
      </x:c>
      <x:c r="F71" s="5">
        <x:f t="shared" si="13"/>
        <x:v>1408000</x:v>
      </x:c>
      <x:c r="G71" s="6" t="s">
        <x:v>1423</x:v>
      </x:c>
      <x:c r="H71" s="299"/>
      <x:c r="I71" s="3" t="s">
        <x:v>524</x:v>
      </x:c>
      <x:c r="J71" s="3" t="s">
        <x:v>948</x:v>
      </x:c>
      <x:c r="K71" s="163">
        <x:v>300000</x:v>
      </x:c>
      <x:c r="L71" s="4">
        <x:f>+K71*0.1</x:f>
        <x:v>30000</x:v>
      </x:c>
      <x:c r="M71" s="5">
        <x:f>+K71+L71</x:f>
        <x:v>330000</x:v>
      </x:c>
      <x:c r="N71" s="6"/>
      <x:c r="V71" s="1"/>
    </x:row>
    <x:row r="72" spans="1:22" s="2" customFormat="1" ht="20.100000000000001" customHeight="1">
      <x:c r="A72" s="299"/>
      <x:c r="B72" s="3" t="s">
        <x:v>307</x:v>
      </x:c>
      <x:c r="C72" s="3" t="s">
        <x:v>1543</x:v>
      </x:c>
      <x:c r="D72" s="163">
        <x:v>300000</x:v>
      </x:c>
      <x:c r="E72" s="4">
        <x:f t="shared" si="12"/>
        <x:v>30000</x:v>
      </x:c>
      <x:c r="F72" s="5">
        <x:f t="shared" si="13"/>
        <x:v>330000</x:v>
      </x:c>
      <x:c r="G72" s="6" t="s">
        <x:v>322</x:v>
      </x:c>
      <x:c r="H72" s="299"/>
      <x:c r="I72" s="3"/>
      <x:c r="J72" s="3"/>
      <x:c r="K72" s="163"/>
      <x:c r="L72" s="4">
        <x:f>+K72*0.1</x:f>
        <x:v>0</x:v>
      </x:c>
      <x:c r="M72" s="5">
        <x:f>+K72+L72</x:f>
        <x:v>0</x:v>
      </x:c>
      <x:c r="N72" s="6"/>
      <x:c r="V72" s="1"/>
    </x:row>
    <x:row r="73" spans="1:22" s="2" customFormat="1" ht="20.100000000000001" customHeight="1">
      <x:c r="A73" s="299"/>
      <x:c r="B73" s="3" t="s">
        <x:v>1557</x:v>
      </x:c>
      <x:c r="C73" s="3" t="s">
        <x:v>1543</x:v>
      </x:c>
      <x:c r="D73" s="163">
        <x:v>500000</x:v>
      </x:c>
      <x:c r="E73" s="4">
        <x:f t="shared" si="12"/>
        <x:v>50000</x:v>
      </x:c>
      <x:c r="F73" s="5">
        <x:f t="shared" si="13"/>
        <x:v>550000</x:v>
      </x:c>
      <x:c r="G73" s="6" t="s">
        <x:v>1423</x:v>
      </x:c>
      <x:c r="H73" s="299"/>
      <x:c r="I73" s="3"/>
      <x:c r="J73" s="3"/>
      <x:c r="K73" s="163"/>
      <x:c r="L73" s="4"/>
      <x:c r="M73" s="5"/>
      <x:c r="N73" s="6"/>
      <x:c r="V73" s="1"/>
    </x:row>
    <x:row r="74" spans="1:22" s="2" customFormat="1" ht="20.100000000000001" customHeight="1">
      <x:c r="A74" s="299"/>
      <x:c r="B74" s="3" t="s">
        <x:v>1577</x:v>
      </x:c>
      <x:c r="C74" s="3" t="s">
        <x:v>1543</x:v>
      </x:c>
      <x:c r="D74" s="163">
        <x:v>800000</x:v>
      </x:c>
      <x:c r="E74" s="4">
        <x:f t="shared" si="12"/>
        <x:v>80000</x:v>
      </x:c>
      <x:c r="F74" s="5">
        <x:f t="shared" si="13"/>
        <x:v>880000</x:v>
      </x:c>
      <x:c r="G74" s="6" t="s">
        <x:v>1423</x:v>
      </x:c>
      <x:c r="H74" s="299"/>
      <x:c r="I74" s="3"/>
      <x:c r="J74" s="3"/>
      <x:c r="K74" s="163"/>
      <x:c r="L74" s="4"/>
      <x:c r="M74" s="5"/>
      <x:c r="N74" s="6"/>
      <x:c r="V74" s="1"/>
    </x:row>
    <x:row r="75" spans="1:22" s="2" customFormat="1" ht="20.100000000000001" customHeight="1">
      <x:c r="A75" s="299"/>
      <x:c r="B75" s="3" t="s">
        <x:v>1522</x:v>
      </x:c>
      <x:c r="C75" s="3" t="s">
        <x:v>545</x:v>
      </x:c>
      <x:c r="D75" s="163">
        <x:f>969000+323000</x:f>
        <x:v>1292000</x:v>
      </x:c>
      <x:c r="E75" s="4">
        <x:f t="shared" si="12"/>
        <x:v>129200</x:v>
      </x:c>
      <x:c r="F75" s="5">
        <x:f t="shared" si="13"/>
        <x:v>1421200</x:v>
      </x:c>
      <x:c r="G75" s="6" t="s">
        <x:v>322</x:v>
      </x:c>
      <x:c r="H75" s="299"/>
      <x:c r="I75" s="3"/>
      <x:c r="J75" s="3"/>
      <x:c r="K75" s="163"/>
      <x:c r="L75" s="4"/>
      <x:c r="M75" s="5"/>
      <x:c r="N75" s="6"/>
      <x:c r="V75" s="1"/>
    </x:row>
    <x:row r="76" spans="1:22" s="2" customFormat="1" ht="20.100000000000001" customHeight="1">
      <x:c r="A76" s="299"/>
      <x:c r="B76" s="3" t="s">
        <x:v>1486</x:v>
      </x:c>
      <x:c r="C76" s="3" t="s">
        <x:v>948</x:v>
      </x:c>
      <x:c r="D76" s="163">
        <x:v>140000</x:v>
      </x:c>
      <x:c r="E76" s="4">
        <x:f t="shared" si="12"/>
        <x:v>14000</x:v>
      </x:c>
      <x:c r="F76" s="5">
        <x:f t="shared" si="13"/>
        <x:v>154000</x:v>
      </x:c>
      <x:c r="G76" s="6" t="s">
        <x:v>1520</x:v>
      </x:c>
      <x:c r="H76" s="299"/>
      <x:c r="I76" s="3"/>
      <x:c r="J76" s="3"/>
      <x:c r="K76" s="163"/>
      <x:c r="L76" s="4"/>
      <x:c r="M76" s="5"/>
      <x:c r="N76" s="6"/>
      <x:c r="V76" s="1"/>
    </x:row>
    <x:row r="77" spans="1:22" s="2" customFormat="1" ht="20.100000000000001" customHeight="1">
      <x:c r="A77" s="299"/>
      <x:c r="B77" s="3" t="s">
        <x:v>1486</x:v>
      </x:c>
      <x:c r="C77" s="3" t="s">
        <x:v>948</x:v>
      </x:c>
      <x:c r="D77" s="163">
        <x:v>1050000</x:v>
      </x:c>
      <x:c r="E77" s="4">
        <x:f>+D77*0.1</x:f>
        <x:v>105000</x:v>
      </x:c>
      <x:c r="F77" s="5">
        <x:f>+D77+E77</x:f>
        <x:v>1155000</x:v>
      </x:c>
      <x:c r="G77" s="6"/>
      <x:c r="H77" s="299"/>
      <x:c r="I77" s="3"/>
      <x:c r="J77" s="3"/>
      <x:c r="K77" s="163"/>
      <x:c r="L77" s="4"/>
      <x:c r="M77" s="5"/>
      <x:c r="N77" s="6"/>
      <x:c r="V77" s="1"/>
    </x:row>
    <x:row r="78" spans="1:22" s="2" customFormat="1" ht="20.100000000000001" customHeight="1">
      <x:c r="A78" s="7"/>
      <x:c r="B78" s="8"/>
      <x:c r="C78" s="8"/>
      <x:c r="D78" s="80">
        <x:f>SUM(D70:D77)</x:f>
        <x:v>6802000</x:v>
      </x:c>
      <x:c r="E78" s="9">
        <x:f>SUM(E70:E77)</x:f>
        <x:v>680200</x:v>
      </x:c>
      <x:c r="F78" s="10">
        <x:f>SUM(F70:F77)</x:f>
        <x:v>7482200</x:v>
      </x:c>
      <x:c r="G78" s="11"/>
      <x:c r="H78" s="7" t="s">
        <x:v>155</x:v>
      </x:c>
      <x:c r="I78" s="8"/>
      <x:c r="J78" s="8"/>
      <x:c r="K78" s="80">
        <x:f>SUM(K70:K77)</x:f>
        <x:v>1650000</x:v>
      </x:c>
      <x:c r="L78" s="9">
        <x:f>SUM(L70:L77)</x:f>
        <x:v>165000</x:v>
      </x:c>
      <x:c r="M78" s="10">
        <x:f>SUM(M70:M77)</x:f>
        <x:v>1815000</x:v>
      </x:c>
      <x:c r="N78" s="11"/>
      <x:c r="V78" s="1"/>
    </x:row>
    <x:row r="79" spans="1:22" s="2" customFormat="1" ht="20.100000000000001" customHeight="1">
      <x:c r="A79" s="301" t="s">
        <x:v>149</x:v>
      </x:c>
      <x:c r="B79" s="3" t="s">
        <x:v>294</x:v>
      </x:c>
      <x:c r="C79" s="3" t="s">
        <x:v>149</x:v>
      </x:c>
      <x:c r="D79" s="4">
        <x:v>1085559</x:v>
      </x:c>
      <x:c r="E79" s="4"/>
      <x:c r="F79" s="5">
        <x:f t="shared" ref="F79:F88" si="14">+D79+E79</x:f>
        <x:v>1085559</x:v>
      </x:c>
      <x:c r="G79" s="6"/>
      <x:c r="H79" s="301" t="s">
        <x:v>149</x:v>
      </x:c>
      <x:c r="I79" s="3" t="s">
        <x:v>248</x:v>
      </x:c>
      <x:c r="J79" s="3" t="s">
        <x:v>492</x:v>
      </x:c>
      <x:c r="K79" s="163">
        <x:v>170740</x:v>
      </x:c>
      <x:c r="L79" s="4"/>
      <x:c r="M79" s="5">
        <x:f>+K79+L79</x:f>
        <x:v>170740</x:v>
      </x:c>
      <x:c r="N79" s="6"/>
      <x:c r="V79" s="1"/>
    </x:row>
    <x:row r="80" spans="1:22" s="2" customFormat="1" ht="20.100000000000001" customHeight="1">
      <x:c r="A80" s="299"/>
      <x:c r="B80" s="3" t="s">
        <x:v>284</x:v>
      </x:c>
      <x:c r="C80" s="3" t="s">
        <x:v>149</x:v>
      </x:c>
      <x:c r="D80" s="163">
        <x:v>1426835</x:v>
      </x:c>
      <x:c r="E80" s="4"/>
      <x:c r="F80" s="5">
        <x:f t="shared" si="14"/>
        <x:v>1426835</x:v>
      </x:c>
      <x:c r="G80" s="6" t="s">
        <x:v>1520</x:v>
      </x:c>
      <x:c r="H80" s="299"/>
      <x:c r="I80" s="3" t="s">
        <x:v>284</x:v>
      </x:c>
      <x:c r="J80" s="3" t="s">
        <x:v>492</x:v>
      </x:c>
      <x:c r="K80" s="163">
        <x:v>849300</x:v>
      </x:c>
      <x:c r="L80" s="4"/>
      <x:c r="M80" s="5">
        <x:f t="shared" ref="M80:M91" si="15">+K80+L80</x:f>
        <x:v>849300</x:v>
      </x:c>
      <x:c r="N80" s="6" t="s">
        <x:v>1516</x:v>
      </x:c>
      <x:c r="V80" s="1"/>
    </x:row>
    <x:row r="81" spans="1:22" s="2" customFormat="1" ht="20.100000000000001" customHeight="1">
      <x:c r="A81" s="299"/>
      <x:c r="B81" s="3" t="s">
        <x:v>1680</x:v>
      </x:c>
      <x:c r="C81" s="3" t="s">
        <x:v>914</x:v>
      </x:c>
      <x:c r="D81" s="163">
        <x:v>100000</x:v>
      </x:c>
      <x:c r="E81" s="4">
        <x:f>+D81*0.1</x:f>
        <x:v>10000</x:v>
      </x:c>
      <x:c r="F81" s="5">
        <x:f t="shared" ref="F81:F86" si="16">+D81+E81</x:f>
        <x:v>110000</x:v>
      </x:c>
      <x:c r="G81" s="6"/>
      <x:c r="H81" s="299"/>
      <x:c r="I81" s="3" t="s">
        <x:v>249</x:v>
      </x:c>
      <x:c r="J81" s="3" t="s">
        <x:v>608</x:v>
      </x:c>
      <x:c r="K81" s="163">
        <x:v>550000</x:v>
      </x:c>
      <x:c r="L81" s="4"/>
      <x:c r="M81" s="5">
        <x:f t="shared" si="15"/>
        <x:v>550000</x:v>
      </x:c>
      <x:c r="N81" s="6"/>
      <x:c r="V81" s="1"/>
    </x:row>
    <x:row r="82" spans="1:22" s="2" customFormat="1" ht="20.100000000000001" customHeight="1">
      <x:c r="A82" s="299"/>
      <x:c r="B82" s="3" t="s">
        <x:v>883</x:v>
      </x:c>
      <x:c r="C82" s="3" t="s">
        <x:v>1417</x:v>
      </x:c>
      <x:c r="D82" s="163">
        <x:v>200000</x:v>
      </x:c>
      <x:c r="E82" s="4">
        <x:f>+D82*0.1</x:f>
        <x:v>20000</x:v>
      </x:c>
      <x:c r="F82" s="5">
        <x:f t="shared" si="16"/>
        <x:v>220000</x:v>
      </x:c>
      <x:c r="G82" s="6" t="s">
        <x:v>250</x:v>
      </x:c>
      <x:c r="H82" s="299"/>
      <x:c r="I82" s="3" t="s">
        <x:v>262</x:v>
      </x:c>
      <x:c r="J82" s="3" t="s">
        <x:v>530</x:v>
      </x:c>
      <x:c r="K82" s="163">
        <x:v>550000</x:v>
      </x:c>
      <x:c r="L82" s="4"/>
      <x:c r="M82" s="5">
        <x:f t="shared" si="15"/>
        <x:v>550000</x:v>
      </x:c>
      <x:c r="N82" s="6"/>
      <x:c r="V82" s="1"/>
    </x:row>
    <x:row r="83" spans="1:22" s="2" customFormat="1" ht="20.100000000000001" customHeight="1">
      <x:c r="A83" s="299"/>
      <x:c r="B83" s="3" t="s">
        <x:v>247</x:v>
      </x:c>
      <x:c r="C83" s="3" t="s">
        <x:v>231</x:v>
      </x:c>
      <x:c r="D83" s="163">
        <x:v>21000</x:v>
      </x:c>
      <x:c r="E83" s="4">
        <x:f>+D83*0.1</x:f>
        <x:v>2100</x:v>
      </x:c>
      <x:c r="F83" s="5">
        <x:f t="shared" si="16"/>
        <x:v>23100</x:v>
      </x:c>
      <x:c r="G83" s="6"/>
      <x:c r="H83" s="299"/>
      <x:c r="I83" s="3" t="s">
        <x:v>289</x:v>
      </x:c>
      <x:c r="J83" s="3" t="s">
        <x:v>608</x:v>
      </x:c>
      <x:c r="K83" s="163">
        <x:v>580000</x:v>
      </x:c>
      <x:c r="L83" s="4"/>
      <x:c r="M83" s="5">
        <x:f t="shared" si="15"/>
        <x:v>580000</x:v>
      </x:c>
      <x:c r="N83" s="6"/>
      <x:c r="V83" s="1"/>
    </x:row>
    <x:row r="84" spans="1:22" s="2" customFormat="1" ht="20.100000000000001" customHeight="1">
      <x:c r="A84" s="299"/>
      <x:c r="B84" s="3" t="s">
        <x:v>1442</x:v>
      </x:c>
      <x:c r="C84" s="3" t="s">
        <x:v>167</x:v>
      </x:c>
      <x:c r="D84" s="163">
        <x:v>155000</x:v>
      </x:c>
      <x:c r="E84" s="4">
        <x:f>+D84*0.1</x:f>
        <x:v>15500</x:v>
      </x:c>
      <x:c r="F84" s="5">
        <x:f t="shared" si="16"/>
        <x:v>170500</x:v>
      </x:c>
      <x:c r="G84" s="6"/>
      <x:c r="H84" s="299"/>
      <x:c r="I84" s="3" t="s">
        <x:v>947</x:v>
      </x:c>
      <x:c r="J84" s="3" t="s">
        <x:v>914</x:v>
      </x:c>
      <x:c r="K84" s="163">
        <x:v>100000</x:v>
      </x:c>
      <x:c r="L84" s="4">
        <x:f>+K84*0.1</x:f>
        <x:v>10000</x:v>
      </x:c>
      <x:c r="M84" s="5">
        <x:f t="shared" si="15"/>
        <x:v>110000</x:v>
      </x:c>
      <x:c r="N84" s="6"/>
      <x:c r="V84" s="1"/>
    </x:row>
    <x:row r="85" spans="1:22" s="2" customFormat="1" ht="20.100000000000001" customHeight="1">
      <x:c r="A85" s="299"/>
      <x:c r="B85" s="3" t="s">
        <x:v>1555</x:v>
      </x:c>
      <x:c r="C85" s="3" t="s">
        <x:v>1598</x:v>
      </x:c>
      <x:c r="D85" s="163">
        <x:v>786000</x:v>
      </x:c>
      <x:c r="E85" s="4">
        <x:f>+D85*0.1</x:f>
        <x:v>78600</x:v>
      </x:c>
      <x:c r="F85" s="5">
        <x:f t="shared" si="16"/>
        <x:v>864600</x:v>
      </x:c>
      <x:c r="G85" s="6" t="s">
        <x:v>1520</x:v>
      </x:c>
      <x:c r="H85" s="299"/>
      <x:c r="I85" s="3" t="s">
        <x:v>883</x:v>
      </x:c>
      <x:c r="J85" s="3" t="s">
        <x:v>1417</x:v>
      </x:c>
      <x:c r="K85" s="163"/>
      <x:c r="L85" s="4"/>
      <x:c r="M85" s="5">
        <x:f t="shared" si="15"/>
        <x:v>0</x:v>
      </x:c>
      <x:c r="N85" s="6" t="s">
        <x:v>1489</x:v>
      </x:c>
      <x:c r="V85" s="1"/>
    </x:row>
    <x:row r="86" spans="1:22" s="2" customFormat="1" ht="20.100000000000001" customHeight="1">
      <x:c r="A86" s="299"/>
      <x:c r="B86" s="3" t="s">
        <x:v>295</x:v>
      </x:c>
      <x:c r="C86" s="3" t="s">
        <x:v>1563</x:v>
      </x:c>
      <x:c r="D86" s="4">
        <x:v>452400</x:v>
      </x:c>
      <x:c r="E86" s="4"/>
      <x:c r="F86" s="5">
        <x:f t="shared" si="16"/>
        <x:v>452400</x:v>
      </x:c>
      <x:c r="G86" s="6" t="s">
        <x:v>556</x:v>
      </x:c>
      <x:c r="H86" s="299"/>
      <x:c r="I86" s="3" t="s">
        <x:v>1340</x:v>
      </x:c>
      <x:c r="J86" s="3" t="s">
        <x:v>28</x:v>
      </x:c>
      <x:c r="K86" s="163">
        <x:v>1666500</x:v>
      </x:c>
      <x:c r="L86" s="4">
        <x:f>+K86*0.1</x:f>
        <x:v>166650</x:v>
      </x:c>
      <x:c r="M86" s="5">
        <x:f t="shared" si="15"/>
        <x:v>1833150</x:v>
      </x:c>
      <x:c r="N86" s="6"/>
      <x:c r="V86" s="1"/>
    </x:row>
    <x:row r="87" spans="1:22" s="2" customFormat="1" ht="20.100000000000001" customHeight="1">
      <x:c r="A87" s="299"/>
      <x:c r="B87" s="3" t="s">
        <x:v>1565</x:v>
      </x:c>
      <x:c r="C87" s="3" t="s">
        <x:v>1600</x:v>
      </x:c>
      <x:c r="D87" s="4">
        <x:v>300000</x:v>
      </x:c>
      <x:c r="E87" s="4">
        <x:f>+D87*0.1</x:f>
        <x:v>30000</x:v>
      </x:c>
      <x:c r="F87" s="5">
        <x:f t="shared" si="14"/>
        <x:v>330000</x:v>
      </x:c>
      <x:c r="G87" s="6" t="s">
        <x:v>322</x:v>
      </x:c>
      <x:c r="H87" s="299"/>
      <x:c r="I87" s="3" t="s">
        <x:v>1513</x:v>
      </x:c>
      <x:c r="J87" s="3" t="s">
        <x:v>825</x:v>
      </x:c>
      <x:c r="K87" s="163">
        <x:f>303000+830000</x:f>
        <x:v>1133000</x:v>
      </x:c>
      <x:c r="L87" s="4">
        <x:f>+K87*0.1</x:f>
        <x:v>113300</x:v>
      </x:c>
      <x:c r="M87" s="5">
        <x:f t="shared" si="15"/>
        <x:v>1246300</x:v>
      </x:c>
      <x:c r="N87" s="6" t="s">
        <x:v>1546</x:v>
      </x:c>
      <x:c r="V87" s="1"/>
    </x:row>
    <x:row r="88" spans="1:22" s="2" customFormat="1" ht="20.100000000000001" customHeight="1">
      <x:c r="A88" s="299"/>
      <x:c r="B88" s="3" t="s">
        <x:v>1580</x:v>
      </x:c>
      <x:c r="C88" s="3" t="s">
        <x:v>1600</x:v>
      </x:c>
      <x:c r="D88" s="4">
        <x:v>350000</x:v>
      </x:c>
      <x:c r="E88" s="4">
        <x:f>+D88*0.1</x:f>
        <x:v>35000</x:v>
      </x:c>
      <x:c r="F88" s="5">
        <x:f t="shared" si="14"/>
        <x:v>385000</x:v>
      </x:c>
      <x:c r="G88" s="6" t="s">
        <x:v>1423</x:v>
      </x:c>
      <x:c r="H88" s="299"/>
      <x:c r="I88" s="3" t="s">
        <x:v>247</x:v>
      </x:c>
      <x:c r="J88" s="3" t="s">
        <x:v>231</x:v>
      </x:c>
      <x:c r="K88" s="163">
        <x:f>4800+21000</x:f>
        <x:v>25800</x:v>
      </x:c>
      <x:c r="L88" s="4">
        <x:f>+K88*0.1</x:f>
        <x:v>2580</x:v>
      </x:c>
      <x:c r="M88" s="5">
        <x:f t="shared" si="15"/>
        <x:v>28380</x:v>
      </x:c>
      <x:c r="N88" s="6" t="s">
        <x:v>1451</x:v>
      </x:c>
      <x:c r="V88" s="1"/>
    </x:row>
    <x:row r="89" spans="1:22" s="2" customFormat="1" ht="20.100000000000001" customHeight="1">
      <x:c r="A89" s="299"/>
      <x:c r="B89" s="3" t="s">
        <x:v>306</x:v>
      </x:c>
      <x:c r="C89" s="3" t="s">
        <x:v>1600</x:v>
      </x:c>
      <x:c r="D89" s="4">
        <x:v>350000</x:v>
      </x:c>
      <x:c r="E89" s="4">
        <x:f>+D89*0.1</x:f>
        <x:v>35000</x:v>
      </x:c>
      <x:c r="F89" s="5">
        <x:f>+D89+E89</x:f>
        <x:v>385000</x:v>
      </x:c>
      <x:c r="G89" s="6" t="s">
        <x:v>1423</x:v>
      </x:c>
      <x:c r="H89" s="299"/>
      <x:c r="I89" s="3" t="s">
        <x:v>926</x:v>
      </x:c>
      <x:c r="J89" s="3" t="s">
        <x:v>404</x:v>
      </x:c>
      <x:c r="K89" s="163">
        <x:v>385340</x:v>
      </x:c>
      <x:c r="L89" s="4"/>
      <x:c r="M89" s="5">
        <x:f t="shared" si="15"/>
        <x:v>385340</x:v>
      </x:c>
      <x:c r="N89" s="6"/>
      <x:c r="V89" s="1"/>
    </x:row>
    <x:row r="90" spans="1:22" s="2" customFormat="1" ht="20.100000000000001" customHeight="1">
      <x:c r="A90" s="299"/>
      <x:c r="B90" s="3" t="s">
        <x:v>1582</x:v>
      </x:c>
      <x:c r="C90" s="3" t="s">
        <x:v>290</x:v>
      </x:c>
      <x:c r="D90" s="4">
        <x:v>605000</x:v>
      </x:c>
      <x:c r="E90" s="4">
        <x:f>+D90*0.1</x:f>
        <x:v>60500</x:v>
      </x:c>
      <x:c r="F90" s="5">
        <x:f>+D90+E90</x:f>
        <x:v>665500</x:v>
      </x:c>
      <x:c r="G90" s="6" t="s">
        <x:v>1520</x:v>
      </x:c>
      <x:c r="H90" s="299"/>
      <x:c r="I90" s="3" t="s">
        <x:v>1429</x:v>
      </x:c>
      <x:c r="J90" s="3" t="s">
        <x:v>167</x:v>
      </x:c>
      <x:c r="K90" s="163"/>
      <x:c r="L90" s="4"/>
      <x:c r="M90" s="5"/>
      <x:c r="N90" s="6"/>
      <x:c r="V90" s="1"/>
    </x:row>
    <x:row r="91" spans="1:22" s="2" customFormat="1" ht="20.100000000000001" customHeight="1">
      <x:c r="A91" s="299"/>
      <x:c r="B91" s="3" t="s">
        <x:v>313</x:v>
      </x:c>
      <x:c r="C91" s="3" t="s">
        <x:v>301</x:v>
      </x:c>
      <x:c r="D91" s="4">
        <x:v>4800000</x:v>
      </x:c>
      <x:c r="E91" s="4"/>
      <x:c r="F91" s="5">
        <x:f>+D91+E91</x:f>
        <x:v>4800000</x:v>
      </x:c>
      <x:c r="G91" s="6" t="s">
        <x:v>1520</x:v>
      </x:c>
      <x:c r="H91" s="299"/>
      <x:c r="I91" s="3" t="s">
        <x:v>1610</x:v>
      </x:c>
      <x:c r="J91" s="3" t="s">
        <x:v>300</x:v>
      </x:c>
      <x:c r="K91" s="163">
        <x:v>520636</x:v>
      </x:c>
      <x:c r="L91" s="4">
        <x:f>+K91*0.1</x:f>
        <x:v>52063.600000000006</x:v>
      </x:c>
      <x:c r="M91" s="5">
        <x:f t="shared" si="15"/>
        <x:v>572699.59999999998</x:v>
      </x:c>
      <x:c r="N91" s="6"/>
      <x:c r="V91" s="1"/>
    </x:row>
    <x:row r="92" spans="1:22" s="2" customFormat="1" ht="20.100000000000001" customHeight="1">
      <x:c r="A92" s="7"/>
      <x:c r="B92" s="8"/>
      <x:c r="C92" s="8"/>
      <x:c r="D92" s="9">
        <x:f>SUM(D79:D91)</x:f>
        <x:v>10631794</x:v>
      </x:c>
      <x:c r="E92" s="9">
        <x:f>SUM(E79:E91)</x:f>
        <x:v>286700</x:v>
      </x:c>
      <x:c r="F92" s="10">
        <x:f>SUM(F79:F91)</x:f>
        <x:v>10918494</x:v>
      </x:c>
      <x:c r="G92" s="11"/>
      <x:c r="H92" s="7" t="s">
        <x:v>155</x:v>
      </x:c>
      <x:c r="I92" s="8"/>
      <x:c r="J92" s="8"/>
      <x:c r="K92" s="9">
        <x:f>SUM(K79:K91)</x:f>
        <x:v>6531316</x:v>
      </x:c>
      <x:c r="L92" s="9">
        <x:f>SUM(L79:L91)</x:f>
        <x:v>344593.59999999998</x:v>
      </x:c>
      <x:c r="M92" s="10">
        <x:f>SUM(M79:M91)</x:f>
        <x:v>6875909.5999999996</x:v>
      </x:c>
      <x:c r="N92" s="11"/>
      <x:c r="V92" s="1"/>
    </x:row>
    <x:row r="93" spans="1:22" s="2" customFormat="1" ht="20.100000000000001" customHeight="1">
      <x:c r="A93" s="12" t="s">
        <x:v>1690</x:v>
      </x:c>
      <x:c r="B93" s="13"/>
      <x:c r="C93" s="13"/>
      <x:c r="D93" s="14">
        <x:f>+D64+D69+D78+D92</x:f>
        <x:v>285808857</x:v>
      </x:c>
      <x:c r="E93" s="14">
        <x:f>+E64+E69+E78+E92</x:f>
        <x:v>20180505.300000001</x:v>
      </x:c>
      <x:c r="F93" s="15">
        <x:f>+F64+F69+F78+F92</x:f>
        <x:v>305989362.30000001</x:v>
      </x:c>
      <x:c r="G93" s="16"/>
      <x:c r="H93" s="12" t="s">
        <x:v>1690</x:v>
      </x:c>
      <x:c r="I93" s="13"/>
      <x:c r="J93" s="13"/>
      <x:c r="K93" s="14">
        <x:f>+K64+K69+K78+K92</x:f>
        <x:v>122096726</x:v>
      </x:c>
      <x:c r="L93" s="14">
        <x:f>+L64+L69+L78+L92</x:f>
        <x:v>7317134.5999999996</x:v>
      </x:c>
      <x:c r="M93" s="15">
        <x:f>+M64+M69+M78+M92</x:f>
        <x:v>129413860.59999999</x:v>
      </x:c>
      <x:c r="N93" s="16"/>
      <x:c r="V93" s="1"/>
    </x:row>
    <x:row r="94" spans="1:22" s="2" customFormat="1" ht="20.100000000000001" customHeight="1">
      <x:c r="A94" s="23" t="s">
        <x:v>35</x:v>
      </x:c>
      <x:c r="B94" s="24"/>
      <x:c r="C94" s="24"/>
      <x:c r="D94" s="25">
        <x:f>+D47-D93</x:f>
        <x:v>-78508857</x:v>
      </x:c>
      <x:c r="E94" s="25">
        <x:f>+E47-E93</x:f>
        <x:v>549494.69999999925</x:v>
      </x:c>
      <x:c r="F94" s="26">
        <x:f>+F47-F93</x:f>
        <x:v>-77959362.300000012</x:v>
      </x:c>
      <x:c r="G94" s="27"/>
      <x:c r="H94" s="23" t="s">
        <x:v>35</x:v>
      </x:c>
      <x:c r="I94" s="24"/>
      <x:c r="J94" s="24"/>
      <x:c r="K94" s="25">
        <x:f>+K47-K93</x:f>
        <x:v>35403274</x:v>
      </x:c>
      <x:c r="L94" s="25">
        <x:f>+L47-L93</x:f>
        <x:v>8432865.4000000004</x:v>
      </x:c>
      <x:c r="M94" s="26">
        <x:f>+M47-M93</x:f>
        <x:v>43836139.400000006</x:v>
      </x:c>
      <x:c r="N94" s="27"/>
      <x:c r="V94" s="1"/>
    </x:row>
    <x:row r="95" spans="1:22" s="2" customFormat="1" ht="20.100000000000001" customHeight="1">
      <x:c r="A95" s="302" t="s">
        <x:v>415</x:v>
      </x:c>
      <x:c r="B95" s="303"/>
      <x:c r="C95" s="303"/>
      <x:c r="D95" s="303"/>
      <x:c r="E95" s="303"/>
      <x:c r="F95" s="304"/>
      <x:c r="G95" s="305"/>
      <x:c r="H95" s="302" t="s">
        <x:v>466</x:v>
      </x:c>
      <x:c r="I95" s="303"/>
      <x:c r="J95" s="303"/>
      <x:c r="K95" s="303"/>
      <x:c r="L95" s="303"/>
      <x:c r="M95" s="304"/>
      <x:c r="N95" s="305"/>
      <x:c r="V95" s="1"/>
    </x:row>
    <x:row r="96" spans="1:22" s="2" customFormat="1" ht="20.100000000000001" customHeight="1">
      <x:c r="A96" s="29" t="s">
        <x:v>147</x:v>
      </x:c>
      <x:c r="B96" s="224" t="s">
        <x:v>144</x:v>
      </x:c>
      <x:c r="C96" s="224" t="s">
        <x:v>150</x:v>
      </x:c>
      <x:c r="D96" s="31" t="s">
        <x:v>145</x:v>
      </x:c>
      <x:c r="E96" s="31" t="s">
        <x:v>152</x:v>
      </x:c>
      <x:c r="F96" s="31" t="s">
        <x:v>146</x:v>
      </x:c>
      <x:c r="G96" s="34" t="s">
        <x:v>154</x:v>
      </x:c>
      <x:c r="H96" s="29" t="s">
        <x:v>147</x:v>
      </x:c>
      <x:c r="I96" s="224" t="s">
        <x:v>144</x:v>
      </x:c>
      <x:c r="J96" s="224" t="s">
        <x:v>150</x:v>
      </x:c>
      <x:c r="K96" s="31" t="s">
        <x:v>145</x:v>
      </x:c>
      <x:c r="L96" s="31" t="s">
        <x:v>152</x:v>
      </x:c>
      <x:c r="M96" s="32" t="s">
        <x:v>146</x:v>
      </x:c>
      <x:c r="N96" s="33" t="s">
        <x:v>154</x:v>
      </x:c>
      <x:c r="V96" s="1"/>
    </x:row>
    <x:row r="97" spans="1:22" s="2" customFormat="1" ht="20.100000000000001" customHeight="1">
      <x:c r="A97" s="41" t="s">
        <x:v>151</x:v>
      </x:c>
      <x:c r="B97" s="38" t="s">
        <x:v>1679</x:v>
      </x:c>
      <x:c r="C97" s="38" t="s">
        <x:v>791</x:v>
      </x:c>
      <x:c r="D97" s="39">
        <x:v>120000000</x:v>
      </x:c>
      <x:c r="E97" s="39">
        <x:f>+D97*0.1</x:f>
        <x:v>12000000</x:v>
      </x:c>
      <x:c r="F97" s="40">
        <x:f>+D97+E97</x:f>
        <x:v>132000000</x:v>
      </x:c>
      <x:c r="G97" s="42"/>
      <x:c r="H97" s="223" t="s">
        <x:v>151</x:v>
      </x:c>
      <x:c r="I97" s="38" t="s">
        <x:v>1679</x:v>
      </x:c>
      <x:c r="J97" s="38" t="s">
        <x:v>791</x:v>
      </x:c>
      <x:c r="K97" s="39">
        <x:f>90000000+K120</x:f>
        <x:v>91870000</x:v>
      </x:c>
      <x:c r="L97" s="39">
        <x:f>9000000+L120</x:f>
        <x:v>9000000</x:v>
      </x:c>
      <x:c r="M97" s="40">
        <x:f t="shared" ref="M97:M114" si="17">+K97+L97</x:f>
        <x:v>100870000</x:v>
      </x:c>
      <x:c r="N97" s="18" t="s">
        <x:v>1473</x:v>
      </x:c>
      <x:c r="V97" s="1"/>
    </x:row>
    <x:row r="98" spans="1:22" s="2" customFormat="1" ht="20.100000000000001" customHeight="1">
      <x:c r="A98" s="298" t="s">
        <x:v>148</x:v>
      </x:c>
      <x:c r="B98" s="19" t="s">
        <x:v>867</x:v>
      </x:c>
      <x:c r="C98" s="54" t="s">
        <x:v>374</x:v>
      </x:c>
      <x:c r="D98" s="225">
        <x:v>3240980</x:v>
      </x:c>
      <x:c r="E98" s="20">
        <x:f>+D98*0.1</x:f>
        <x:v>324098</x:v>
      </x:c>
      <x:c r="F98" s="21">
        <x:f t="shared" ref="F98:F104" si="18">+D98+E98</x:f>
        <x:v>3565078</x:v>
      </x:c>
      <x:c r="G98" s="22"/>
      <x:c r="H98" s="298" t="s">
        <x:v>148</x:v>
      </x:c>
      <x:c r="I98" s="54" t="s">
        <x:v>867</x:v>
      </x:c>
      <x:c r="J98" s="54" t="s">
        <x:v>374</x:v>
      </x:c>
      <x:c r="K98" s="226">
        <x:v>2235400</x:v>
      </x:c>
      <x:c r="L98" s="93">
        <x:f t="shared" ref="L98:L101" si="19">+INT(K98*0.1)</x:f>
        <x:v>223540</x:v>
      </x:c>
      <x:c r="M98" s="94">
        <x:f t="shared" si="17"/>
        <x:v>2458940</x:v>
      </x:c>
      <x:c r="N98" s="95"/>
      <x:c r="V98" s="1"/>
    </x:row>
    <x:row r="99" spans="1:22" s="2" customFormat="1" ht="20.100000000000001" customHeight="1">
      <x:c r="A99" s="299"/>
      <x:c r="B99" s="3" t="s">
        <x:v>1315</x:v>
      </x:c>
      <x:c r="C99" s="3" t="s">
        <x:v>1711</x:v>
      </x:c>
      <x:c r="D99" s="44">
        <x:v>3507853</x:v>
      </x:c>
      <x:c r="E99" s="4">
        <x:f>+D99*0.1-1</x:f>
        <x:v>350784.30000000005</x:v>
      </x:c>
      <x:c r="F99" s="5">
        <x:f t="shared" si="18"/>
        <x:v>3858637.2999999998</x:v>
      </x:c>
      <x:c r="G99" s="6"/>
      <x:c r="H99" s="299"/>
      <x:c r="I99" s="162" t="s">
        <x:v>1348</x:v>
      </x:c>
      <x:c r="J99" s="162"/>
      <x:c r="K99" s="163"/>
      <x:c r="L99" s="163">
        <x:f t="shared" si="19"/>
        <x:v>0</x:v>
      </x:c>
      <x:c r="M99" s="164">
        <x:f t="shared" si="17"/>
        <x:v>0</x:v>
      </x:c>
      <x:c r="N99" s="158"/>
      <x:c r="V99" s="1"/>
    </x:row>
    <x:row r="100" spans="1:22" s="2" customFormat="1" ht="20.100000000000001" customHeight="1">
      <x:c r="A100" s="299"/>
      <x:c r="B100" s="3" t="s">
        <x:v>846</x:v>
      </x:c>
      <x:c r="C100" s="3" t="s">
        <x:v>1574</x:v>
      </x:c>
      <x:c r="D100" s="44">
        <x:v>1796501</x:v>
      </x:c>
      <x:c r="E100" s="4">
        <x:f>+D100*0.1-2</x:f>
        <x:v>179648.10000000001</x:v>
      </x:c>
      <x:c r="F100" s="5">
        <x:f t="shared" si="18"/>
        <x:v>1976149.1000000001</x:v>
      </x:c>
      <x:c r="G100" s="6"/>
      <x:c r="H100" s="299"/>
      <x:c r="I100" s="3" t="s">
        <x:v>902</x:v>
      </x:c>
      <x:c r="J100" s="3" t="s">
        <x:v>550</x:v>
      </x:c>
      <x:c r="K100" s="163">
        <x:v>564500</x:v>
      </x:c>
      <x:c r="L100" s="4">
        <x:f t="shared" si="19"/>
        <x:v>56450</x:v>
      </x:c>
      <x:c r="M100" s="5">
        <x:f t="shared" si="17"/>
        <x:v>620950</x:v>
      </x:c>
      <x:c r="N100" s="6"/>
      <x:c r="V100" s="1"/>
    </x:row>
    <x:row r="101" spans="1:22" s="2" customFormat="1" ht="20.100000000000001" customHeight="1">
      <x:c r="A101" s="299"/>
      <x:c r="B101" s="3" t="s">
        <x:v>1553</x:v>
      </x:c>
      <x:c r="C101" s="3" t="s">
        <x:v>1215</x:v>
      </x:c>
      <x:c r="D101" s="44">
        <x:v>900000</x:v>
      </x:c>
      <x:c r="E101" s="4">
        <x:f t="shared" ref="E101:E110" si="20">+D101*0.1</x:f>
        <x:v>90000</x:v>
      </x:c>
      <x:c r="F101" s="5">
        <x:f t="shared" si="18"/>
        <x:v>990000</x:v>
      </x:c>
      <x:c r="G101" s="6"/>
      <x:c r="H101" s="299"/>
      <x:c r="I101" s="3" t="s">
        <x:v>938</x:v>
      </x:c>
      <x:c r="J101" s="3" t="s">
        <x:v>1094</x:v>
      </x:c>
      <x:c r="K101" s="163">
        <x:v>2762000</x:v>
      </x:c>
      <x:c r="L101" s="4">
        <x:f t="shared" si="19"/>
        <x:v>276200</x:v>
      </x:c>
      <x:c r="M101" s="5">
        <x:f t="shared" si="17"/>
        <x:v>3038200</x:v>
      </x:c>
      <x:c r="N101" s="6"/>
      <x:c r="V101" s="1"/>
    </x:row>
    <x:row r="102" spans="1:22" s="2" customFormat="1" ht="20.100000000000001" customHeight="1">
      <x:c r="A102" s="299"/>
      <x:c r="B102" s="3" t="s">
        <x:v>838</x:v>
      </x:c>
      <x:c r="C102" s="3" t="s">
        <x:v>1055</x:v>
      </x:c>
      <x:c r="D102" s="44">
        <x:v>126000</x:v>
      </x:c>
      <x:c r="E102" s="4">
        <x:f t="shared" si="20"/>
        <x:v>12600</x:v>
      </x:c>
      <x:c r="F102" s="5">
        <x:f t="shared" si="18"/>
        <x:v>138600</x:v>
      </x:c>
      <x:c r="G102" s="6"/>
      <x:c r="H102" s="299"/>
      <x:c r="I102" s="3" t="s">
        <x:v>483</x:v>
      </x:c>
      <x:c r="J102" s="3" t="s">
        <x:v>1556</x:v>
      </x:c>
      <x:c r="K102" s="163">
        <x:v>3225000</x:v>
      </x:c>
      <x:c r="L102" s="4">
        <x:f t="shared" ref="L102:L105" si="21">+INT(K102*0.1)</x:f>
        <x:v>322500</x:v>
      </x:c>
      <x:c r="M102" s="5">
        <x:f t="shared" ref="M102:M112" si="22">+K102+L102</x:f>
        <x:v>3547500</x:v>
      </x:c>
      <x:c r="N102" s="6"/>
      <x:c r="V102" s="1"/>
    </x:row>
    <x:row r="103" spans="1:22" s="2" customFormat="1" ht="20.100000000000001" customHeight="1">
      <x:c r="A103" s="299"/>
      <x:c r="B103" s="3" t="s">
        <x:v>1378</x:v>
      </x:c>
      <x:c r="C103" s="3" t="s">
        <x:v>1570</x:v>
      </x:c>
      <x:c r="D103" s="44">
        <x:v>1046376</x:v>
      </x:c>
      <x:c r="E103" s="4">
        <x:f t="shared" si="20"/>
        <x:v>104637.60000000001</x:v>
      </x:c>
      <x:c r="F103" s="5">
        <x:f t="shared" si="18"/>
        <x:v>1151013.6000000001</x:v>
      </x:c>
      <x:c r="G103" s="6"/>
      <x:c r="H103" s="299"/>
      <x:c r="I103" s="3" t="s">
        <x:v>1378</x:v>
      </x:c>
      <x:c r="J103" s="3" t="s">
        <x:v>1392</x:v>
      </x:c>
      <x:c r="K103" s="163">
        <x:v>434800</x:v>
      </x:c>
      <x:c r="L103" s="4">
        <x:f t="shared" si="21"/>
        <x:v>43480</x:v>
      </x:c>
      <x:c r="M103" s="5">
        <x:f t="shared" si="22"/>
        <x:v>478280</x:v>
      </x:c>
      <x:c r="N103" s="6"/>
      <x:c r="V103" s="1"/>
    </x:row>
    <x:row r="104" spans="1:22" s="2" customFormat="1" ht="20.100000000000001" customHeight="1">
      <x:c r="A104" s="299"/>
      <x:c r="B104" s="3" t="s">
        <x:v>1058</x:v>
      </x:c>
      <x:c r="C104" s="3" t="s">
        <x:v>459</x:v>
      </x:c>
      <x:c r="D104" s="44">
        <x:v>771440</x:v>
      </x:c>
      <x:c r="E104" s="4">
        <x:f t="shared" si="20"/>
        <x:v>77144</x:v>
      </x:c>
      <x:c r="F104" s="5">
        <x:f t="shared" si="18"/>
        <x:v>848584</x:v>
      </x:c>
      <x:c r="G104" s="6"/>
      <x:c r="H104" s="299"/>
      <x:c r="I104" s="3" t="s">
        <x:v>1058</x:v>
      </x:c>
      <x:c r="J104" s="3" t="s">
        <x:v>548</x:v>
      </x:c>
      <x:c r="K104" s="163">
        <x:v>2637900</x:v>
      </x:c>
      <x:c r="L104" s="4">
        <x:f t="shared" si="21"/>
        <x:v>263790</x:v>
      </x:c>
      <x:c r="M104" s="5">
        <x:f t="shared" si="22"/>
        <x:v>2901690</x:v>
      </x:c>
      <x:c r="N104" s="6"/>
      <x:c r="V104" s="1"/>
    </x:row>
    <x:row r="105" spans="1:22" s="2" customFormat="1" ht="20.100000000000001" customHeight="1">
      <x:c r="A105" s="299"/>
      <x:c r="B105" s="3" t="s">
        <x:v>1348</x:v>
      </x:c>
      <x:c r="C105" s="3" t="s">
        <x:v>1159</x:v>
      </x:c>
      <x:c r="D105" s="44">
        <x:v>3660312</x:v>
      </x:c>
      <x:c r="E105" s="4">
        <x:f t="shared" si="20"/>
        <x:v>366031.20000000001</x:v>
      </x:c>
      <x:c r="F105" s="5">
        <x:f>+D105+E105</x:f>
        <x:v>4026343.2000000002</x:v>
      </x:c>
      <x:c r="G105" s="6"/>
      <x:c r="H105" s="299"/>
      <x:c r="I105" s="3" t="s">
        <x:v>1119</x:v>
      </x:c>
      <x:c r="J105" s="3"/>
      <x:c r="K105" s="163"/>
      <x:c r="L105" s="4">
        <x:f t="shared" si="21"/>
        <x:v>0</x:v>
      </x:c>
      <x:c r="M105" s="5">
        <x:f t="shared" si="22"/>
        <x:v>0</x:v>
      </x:c>
      <x:c r="N105" s="6"/>
      <x:c r="V105" s="1"/>
    </x:row>
    <x:row r="106" spans="1:22" s="2" customFormat="1" ht="20.100000000000001" customHeight="1">
      <x:c r="A106" s="299"/>
      <x:c r="B106" s="3" t="s">
        <x:v>798</x:v>
      </x:c>
      <x:c r="C106" s="3" t="s">
        <x:v>1271</x:v>
      </x:c>
      <x:c r="D106" s="44">
        <x:v>2200000</x:v>
      </x:c>
      <x:c r="E106" s="4">
        <x:f t="shared" si="20"/>
        <x:v>220000</x:v>
      </x:c>
      <x:c r="F106" s="5">
        <x:f t="shared" ref="F106:F117" si="23">+D106+E106</x:f>
        <x:v>2420000</x:v>
      </x:c>
      <x:c r="G106" s="6"/>
      <x:c r="H106" s="299"/>
      <x:c r="I106" s="3" t="s">
        <x:v>846</x:v>
      </x:c>
      <x:c r="J106" s="3" t="s">
        <x:v>1572</x:v>
      </x:c>
      <x:c r="K106" s="163">
        <x:v>922000</x:v>
      </x:c>
      <x:c r="L106" s="4">
        <x:f>+INT(K106*0.1)</x:f>
        <x:v>92200</x:v>
      </x:c>
      <x:c r="M106" s="5">
        <x:f t="shared" si="22"/>
        <x:v>1014200</x:v>
      </x:c>
      <x:c r="N106" s="6"/>
      <x:c r="V106" s="1"/>
    </x:row>
    <x:row r="107" spans="1:22" s="2" customFormat="1" ht="20.100000000000001" customHeight="1">
      <x:c r="A107" s="299"/>
      <x:c r="B107" s="3" t="s">
        <x:v>228</x:v>
      </x:c>
      <x:c r="C107" s="3" t="s">
        <x:v>1499</x:v>
      </x:c>
      <x:c r="D107" s="44">
        <x:v>20867600</x:v>
      </x:c>
      <x:c r="E107" s="4">
        <x:f t="shared" si="20"/>
        <x:v>2086760</x:v>
      </x:c>
      <x:c r="F107" s="5">
        <x:f t="shared" si="23"/>
        <x:v>22954360</x:v>
      </x:c>
      <x:c r="G107" s="6"/>
      <x:c r="H107" s="299"/>
      <x:c r="I107" s="3" t="s">
        <x:v>762</x:v>
      </x:c>
      <x:c r="J107" s="3" t="s">
        <x:v>244</x:v>
      </x:c>
      <x:c r="K107" s="163">
        <x:v>30374100</x:v>
      </x:c>
      <x:c r="L107" s="4">
        <x:f>+INT(K107*0.1)</x:f>
        <x:v>3037410</x:v>
      </x:c>
      <x:c r="M107" s="5">
        <x:f t="shared" si="22"/>
        <x:v>33411510</x:v>
      </x:c>
      <x:c r="N107" s="6"/>
      <x:c r="V107" s="1"/>
    </x:row>
    <x:row r="108" spans="1:22" s="2" customFormat="1" ht="20.100000000000001" customHeight="1">
      <x:c r="A108" s="299"/>
      <x:c r="B108" s="3" t="s">
        <x:v>1567</x:v>
      </x:c>
      <x:c r="C108" s="3" t="s">
        <x:v>1571</x:v>
      </x:c>
      <x:c r="D108" s="44">
        <x:v>500000</x:v>
      </x:c>
      <x:c r="E108" s="4">
        <x:f t="shared" si="20"/>
        <x:v>50000</x:v>
      </x:c>
      <x:c r="F108" s="5">
        <x:f t="shared" si="23"/>
        <x:v>550000</x:v>
      </x:c>
      <x:c r="G108" s="6"/>
      <x:c r="H108" s="299"/>
      <x:c r="I108" s="3" t="s">
        <x:v>1039</x:v>
      </x:c>
      <x:c r="J108" s="3" t="s">
        <x:v>310</x:v>
      </x:c>
      <x:c r="K108" s="163">
        <x:v>527000</x:v>
      </x:c>
      <x:c r="L108" s="4">
        <x:f>+INT(K108*0.1)</x:f>
        <x:v>52700</x:v>
      </x:c>
      <x:c r="M108" s="5">
        <x:f t="shared" si="22"/>
        <x:v>579700</x:v>
      </x:c>
      <x:c r="N108" s="37"/>
      <x:c r="V108" s="1"/>
    </x:row>
    <x:row r="109" spans="1:22" s="2" customFormat="1" ht="20.100000000000001" customHeight="1">
      <x:c r="A109" s="299"/>
      <x:c r="B109" s="3" t="s">
        <x:v>1477</x:v>
      </x:c>
      <x:c r="C109" s="3" t="s">
        <x:v>1456</x:v>
      </x:c>
      <x:c r="D109" s="44">
        <x:v>980000</x:v>
      </x:c>
      <x:c r="E109" s="4">
        <x:f t="shared" si="20"/>
        <x:v>98000</x:v>
      </x:c>
      <x:c r="F109" s="5">
        <x:f t="shared" si="23"/>
        <x:v>1078000</x:v>
      </x:c>
      <x:c r="G109" s="6"/>
      <x:c r="H109" s="299"/>
      <x:c r="I109" s="3" t="s">
        <x:v>455</x:v>
      </x:c>
      <x:c r="J109" s="3" t="s">
        <x:v>1093</x:v>
      </x:c>
      <x:c r="K109" s="163">
        <x:v>858200</x:v>
      </x:c>
      <x:c r="L109" s="4">
        <x:f>+INT(K109*0.1)</x:f>
        <x:v>85820</x:v>
      </x:c>
      <x:c r="M109" s="5">
        <x:f t="shared" si="22"/>
        <x:v>944020</x:v>
      </x:c>
      <x:c r="N109" s="179" t="s">
        <x:v>1583</x:v>
      </x:c>
      <x:c r="V109" s="1"/>
    </x:row>
    <x:row r="110" spans="1:22" s="2" customFormat="1" ht="20.100000000000001" customHeight="1">
      <x:c r="A110" s="299"/>
      <x:c r="B110" s="3" t="s">
        <x:v>483</x:v>
      </x:c>
      <x:c r="C110" s="3" t="s">
        <x:v>544</x:v>
      </x:c>
      <x:c r="D110" s="44">
        <x:v>13999000</x:v>
      </x:c>
      <x:c r="E110" s="4">
        <x:f t="shared" si="20"/>
        <x:v>1399900</x:v>
      </x:c>
      <x:c r="F110" s="5">
        <x:f t="shared" si="23"/>
        <x:v>15398900</x:v>
      </x:c>
      <x:c r="G110" s="6"/>
      <x:c r="H110" s="299"/>
      <x:c r="I110" s="3" t="s">
        <x:v>1033</x:v>
      </x:c>
      <x:c r="J110" s="3" t="s">
        <x:v>201</x:v>
      </x:c>
      <x:c r="K110" s="163">
        <x:v>80500</x:v>
      </x:c>
      <x:c r="L110" s="4">
        <x:f>+K110*0.1</x:f>
        <x:v>8050</x:v>
      </x:c>
      <x:c r="M110" s="5">
        <x:f t="shared" si="22"/>
        <x:v>88550</x:v>
      </x:c>
      <x:c r="N110" s="6"/>
      <x:c r="V110" s="1"/>
    </x:row>
    <x:row r="111" spans="1:22" s="2" customFormat="1" ht="20.100000000000001" customHeight="1">
      <x:c r="A111" s="299"/>
      <x:c r="B111" s="3" t="s">
        <x:v>1319</x:v>
      </x:c>
      <x:c r="C111" s="3" t="s">
        <x:v>1295</x:v>
      </x:c>
      <x:c r="D111" s="44">
        <x:v>185000</x:v>
      </x:c>
      <x:c r="E111" s="4">
        <x:f t="shared" ref="E111:E117" si="24">+D111*0.1</x:f>
        <x:v>18500</x:v>
      </x:c>
      <x:c r="F111" s="5">
        <x:f t="shared" si="23"/>
        <x:v>203500</x:v>
      </x:c>
      <x:c r="G111" s="6"/>
      <x:c r="H111" s="299"/>
      <x:c r="I111" s="3" t="s">
        <x:v>1477</x:v>
      </x:c>
      <x:c r="J111" s="3" t="s">
        <x:v>1456</x:v>
      </x:c>
      <x:c r="K111" s="163">
        <x:v>1500000</x:v>
      </x:c>
      <x:c r="L111" s="4">
        <x:f>+K111*0.1</x:f>
        <x:v>150000</x:v>
      </x:c>
      <x:c r="M111" s="5">
        <x:f t="shared" si="22"/>
        <x:v>1650000</x:v>
      </x:c>
      <x:c r="N111" s="6"/>
      <x:c r="V111" s="1"/>
    </x:row>
    <x:row r="112" spans="1:22" s="2" customFormat="1" ht="20.100000000000001" customHeight="1">
      <x:c r="A112" s="299"/>
      <x:c r="B112" s="3" t="s">
        <x:v>854</x:v>
      </x:c>
      <x:c r="C112" s="3" t="s">
        <x:v>765</x:v>
      </x:c>
      <x:c r="D112" s="44">
        <x:v>687170</x:v>
      </x:c>
      <x:c r="E112" s="4">
        <x:f t="shared" si="24"/>
        <x:v>68717</x:v>
      </x:c>
      <x:c r="F112" s="5">
        <x:f t="shared" si="23"/>
        <x:v>755887</x:v>
      </x:c>
      <x:c r="G112" s="6"/>
      <x:c r="H112" s="299"/>
      <x:c r="I112" s="3" t="s">
        <x:v>1449</x:v>
      </x:c>
      <x:c r="J112" s="3" t="s">
        <x:v>898</x:v>
      </x:c>
      <x:c r="K112" s="163">
        <x:v>468000</x:v>
      </x:c>
      <x:c r="L112" s="4">
        <x:f>+K112*0.1</x:f>
        <x:v>46800</x:v>
      </x:c>
      <x:c r="M112" s="5">
        <x:f t="shared" si="22"/>
        <x:v>514800</x:v>
      </x:c>
      <x:c r="N112" s="6"/>
      <x:c r="V112" s="1"/>
    </x:row>
    <x:row r="113" spans="1:22" s="2" customFormat="1" ht="20.100000000000001" customHeight="1">
      <x:c r="A113" s="299"/>
      <x:c r="B113" s="3" t="s">
        <x:v>774</x:v>
      </x:c>
      <x:c r="C113" s="3" t="s">
        <x:v>1233</x:v>
      </x:c>
      <x:c r="D113" s="44">
        <x:v>2100000</x:v>
      </x:c>
      <x:c r="E113" s="4">
        <x:f t="shared" si="24"/>
        <x:v>210000</x:v>
      </x:c>
      <x:c r="F113" s="5">
        <x:f t="shared" si="23"/>
        <x:v>2310000</x:v>
      </x:c>
      <x:c r="G113" s="6"/>
      <x:c r="H113" s="299"/>
      <x:c r="I113" s="3" t="s">
        <x:v>228</x:v>
      </x:c>
      <x:c r="J113" s="3" t="s">
        <x:v>1112</x:v>
      </x:c>
      <x:c r="K113" s="163">
        <x:v>2788000</x:v>
      </x:c>
      <x:c r="L113" s="4">
        <x:f>+K113*0.1</x:f>
        <x:v>278800</x:v>
      </x:c>
      <x:c r="M113" s="5">
        <x:f t="shared" si="17"/>
        <x:v>3066800</x:v>
      </x:c>
      <x:c r="N113" s="6"/>
      <x:c r="V113" s="1"/>
    </x:row>
    <x:row r="114" spans="1:22" s="2" customFormat="1" ht="20.100000000000001" customHeight="1">
      <x:c r="A114" s="299"/>
      <x:c r="B114" s="3" t="s">
        <x:v>1441</x:v>
      </x:c>
      <x:c r="C114" s="3" t="s">
        <x:v>1550</x:v>
      </x:c>
      <x:c r="D114" s="44">
        <x:v>555840</x:v>
      </x:c>
      <x:c r="E114" s="4">
        <x:f t="shared" si="24"/>
        <x:v>55584</x:v>
      </x:c>
      <x:c r="F114" s="5">
        <x:f t="shared" si="23"/>
        <x:v>611424</x:v>
      </x:c>
      <x:c r="G114" s="6"/>
      <x:c r="H114" s="299"/>
      <x:c r="I114" s="3" t="s">
        <x:v>561</x:v>
      </x:c>
      <x:c r="J114" s="3" t="s">
        <x:v>1592</x:v>
      </x:c>
      <x:c r="K114" s="163">
        <x:v>900000</x:v>
      </x:c>
      <x:c r="L114" s="4">
        <x:f>+K114*0.1</x:f>
        <x:v>90000</x:v>
      </x:c>
      <x:c r="M114" s="5">
        <x:f t="shared" si="17"/>
        <x:v>990000</x:v>
      </x:c>
      <x:c r="N114" s="6"/>
      <x:c r="V114" s="1"/>
    </x:row>
    <x:row r="115" spans="1:22" s="2" customFormat="1" ht="20.100000000000001" customHeight="1">
      <x:c r="A115" s="299"/>
      <x:c r="B115" s="3" t="s">
        <x:v>1039</x:v>
      </x:c>
      <x:c r="C115" s="3" t="s">
        <x:v>310</x:v>
      </x:c>
      <x:c r="D115" s="44">
        <x:v>87920</x:v>
      </x:c>
      <x:c r="E115" s="4">
        <x:f t="shared" si="24"/>
        <x:v>8792</x:v>
      </x:c>
      <x:c r="F115" s="5">
        <x:f t="shared" si="23"/>
        <x:v>96712</x:v>
      </x:c>
      <x:c r="G115" s="6"/>
      <x:c r="H115" s="299"/>
      <x:c r="I115" s="3"/>
      <x:c r="J115" s="3"/>
      <x:c r="K115" s="163"/>
      <x:c r="L115" s="4"/>
      <x:c r="M115" s="5"/>
      <x:c r="N115" s="6"/>
      <x:c r="V115" s="1"/>
    </x:row>
    <x:row r="116" spans="1:22" s="2" customFormat="1" ht="20.100000000000001" customHeight="1">
      <x:c r="A116" s="299"/>
      <x:c r="B116" s="3" t="s">
        <x:v>435</x:v>
      </x:c>
      <x:c r="C116" s="3" t="s">
        <x:v>1596</x:v>
      </x:c>
      <x:c r="D116" s="44">
        <x:v>678000</x:v>
      </x:c>
      <x:c r="E116" s="4">
        <x:f t="shared" si="24"/>
        <x:v>67800</x:v>
      </x:c>
      <x:c r="F116" s="5">
        <x:f t="shared" si="23"/>
        <x:v>745800</x:v>
      </x:c>
      <x:c r="G116" s="6" t="s">
        <x:v>1589</x:v>
      </x:c>
      <x:c r="H116" s="299"/>
      <x:c r="I116" s="3"/>
      <x:c r="J116" s="3"/>
      <x:c r="K116" s="163"/>
      <x:c r="L116" s="4"/>
      <x:c r="M116" s="5"/>
      <x:c r="N116" s="6"/>
      <x:c r="V116" s="1"/>
    </x:row>
    <x:row r="117" spans="1:22" s="2" customFormat="1" ht="20.100000000000001" customHeight="1">
      <x:c r="A117" s="299"/>
      <x:c r="B117" s="3" t="s">
        <x:v>1526</x:v>
      </x:c>
      <x:c r="C117" s="3" t="s">
        <x:v>1531</x:v>
      </x:c>
      <x:c r="D117" s="44">
        <x:v>260000</x:v>
      </x:c>
      <x:c r="E117" s="4">
        <x:f t="shared" si="24"/>
        <x:v>26000</x:v>
      </x:c>
      <x:c r="F117" s="5">
        <x:f t="shared" si="23"/>
        <x:v>286000</x:v>
      </x:c>
      <x:c r="G117" s="6" t="s">
        <x:v>1566</x:v>
      </x:c>
      <x:c r="H117" s="300"/>
      <x:c r="I117" s="3"/>
      <x:c r="J117" s="3"/>
      <x:c r="K117" s="163"/>
      <x:c r="L117" s="4"/>
      <x:c r="M117" s="5"/>
      <x:c r="N117" s="6"/>
      <x:c r="V117" s="1"/>
    </x:row>
    <x:row r="118" spans="1:22" s="2" customFormat="1" ht="20.100000000000001" customHeight="1">
      <x:c r="A118" s="7"/>
      <x:c r="B118" s="8"/>
      <x:c r="C118" s="8"/>
      <x:c r="D118" s="9">
        <x:f>SUM(D98:D117)</x:f>
        <x:v>58149992</x:v>
      </x:c>
      <x:c r="E118" s="9">
        <x:f>SUM(E98:E117)</x:f>
        <x:v>5814996.2000000002</x:v>
      </x:c>
      <x:c r="F118" s="10">
        <x:f>SUM(F98:F117)</x:f>
        <x:v>63964988.200000003</x:v>
      </x:c>
      <x:c r="G118" s="11"/>
      <x:c r="H118" s="7" t="s">
        <x:v>155</x:v>
      </x:c>
      <x:c r="I118" s="8"/>
      <x:c r="J118" s="8"/>
      <x:c r="K118" s="80">
        <x:f>SUM(K98:K117)</x:f>
        <x:v>50277400</x:v>
      </x:c>
      <x:c r="L118" s="9">
        <x:f>SUM(L98:L117)</x:f>
        <x:v>5027740</x:v>
      </x:c>
      <x:c r="M118" s="10">
        <x:f>SUM(M98:M117)</x:f>
        <x:v>55305140</x:v>
      </x:c>
      <x:c r="N118" s="11"/>
      <x:c r="V118" s="1"/>
    </x:row>
    <x:row r="119" spans="1:22" s="2" customFormat="1" ht="20.100000000000001" customHeight="1">
      <x:c r="A119" s="301" t="s">
        <x:v>153</x:v>
      </x:c>
      <x:c r="B119" s="3" t="s">
        <x:v>1677</x:v>
      </x:c>
      <x:c r="C119" s="3" t="s">
        <x:v>1096</x:v>
      </x:c>
      <x:c r="D119" s="4">
        <x:v>25720000</x:v>
      </x:c>
      <x:c r="E119" s="4"/>
      <x:c r="F119" s="5">
        <x:f>+D119+E119</x:f>
        <x:v>25720000</x:v>
      </x:c>
      <x:c r="G119" s="6"/>
      <x:c r="H119" s="301" t="s">
        <x:v>153</x:v>
      </x:c>
      <x:c r="I119" s="3" t="s">
        <x:v>1677</x:v>
      </x:c>
      <x:c r="J119" s="3" t="s">
        <x:v>1528</x:v>
      </x:c>
      <x:c r="K119" s="163">
        <x:v>16580000</x:v>
      </x:c>
      <x:c r="L119" s="44"/>
      <x:c r="M119" s="45">
        <x:f>+K119+L119</x:f>
        <x:v>16580000</x:v>
      </x:c>
      <x:c r="N119" s="37"/>
      <x:c r="V119" s="1"/>
    </x:row>
    <x:row r="120" spans="1:22" s="2" customFormat="1" ht="20.100000000000001" customHeight="1">
      <x:c r="A120" s="299"/>
      <x:c r="B120" s="3" t="s">
        <x:v>1241</x:v>
      </x:c>
      <x:c r="C120" s="3" t="s">
        <x:v>523</x:v>
      </x:c>
      <x:c r="D120" s="4"/>
      <x:c r="E120" s="4"/>
      <x:c r="F120" s="5">
        <x:f>+D120+E120</x:f>
        <x:v>0</x:v>
      </x:c>
      <x:c r="G120" s="6"/>
      <x:c r="H120" s="299"/>
      <x:c r="I120" s="3" t="s">
        <x:v>1545</x:v>
      </x:c>
      <x:c r="J120" s="3" t="s">
        <x:v>252</x:v>
      </x:c>
      <x:c r="K120" s="163">
        <x:v>1870000</x:v>
      </x:c>
      <x:c r="L120" s="44"/>
      <x:c r="M120" s="45">
        <x:f>+K120+L120</x:f>
        <x:v>1870000</x:v>
      </x:c>
      <x:c r="N120" s="37" t="s">
        <x:v>532</x:v>
      </x:c>
      <x:c r="V120" s="1"/>
    </x:row>
    <x:row r="121" spans="1:22" s="2" customFormat="1" ht="20.100000000000001" customHeight="1">
      <x:c r="A121" s="299"/>
      <x:c r="B121" s="3"/>
      <x:c r="C121" s="3"/>
      <x:c r="D121" s="4"/>
      <x:c r="E121" s="4"/>
      <x:c r="F121" s="5">
        <x:f>+D121+E121</x:f>
        <x:v>0</x:v>
      </x:c>
      <x:c r="G121" s="6"/>
      <x:c r="H121" s="299"/>
      <x:c r="I121" s="3" t="s">
        <x:v>1241</x:v>
      </x:c>
      <x:c r="J121" s="3" t="s">
        <x:v>1559</x:v>
      </x:c>
      <x:c r="K121" s="163">
        <x:v>8000000</x:v>
      </x:c>
      <x:c r="L121" s="4"/>
      <x:c r="M121" s="5">
        <x:f>+K121+L121</x:f>
        <x:v>8000000</x:v>
      </x:c>
      <x:c r="N121" s="6"/>
      <x:c r="V121" s="1"/>
    </x:row>
    <x:row r="122" spans="1:22" s="2" customFormat="1" ht="20.100000000000001" customHeight="1">
      <x:c r="A122" s="300"/>
      <x:c r="B122" s="3"/>
      <x:c r="C122" s="3"/>
      <x:c r="D122" s="4"/>
      <x:c r="E122" s="4">
        <x:f>+D122*0.1</x:f>
        <x:v>0</x:v>
      </x:c>
      <x:c r="F122" s="5">
        <x:f>+D122+E122</x:f>
        <x:v>0</x:v>
      </x:c>
      <x:c r="G122" s="6"/>
      <x:c r="H122" s="300"/>
      <x:c r="I122" s="3"/>
      <x:c r="J122" s="3"/>
      <x:c r="K122" s="163"/>
      <x:c r="L122" s="4">
        <x:f>+K122*0.1</x:f>
        <x:v>0</x:v>
      </x:c>
      <x:c r="M122" s="5">
        <x:f>+K122+L122</x:f>
        <x:v>0</x:v>
      </x:c>
      <x:c r="N122" s="6"/>
      <x:c r="V122" s="1"/>
    </x:row>
    <x:row r="123" spans="1:22" s="2" customFormat="1" ht="20.100000000000001" customHeight="1">
      <x:c r="A123" s="7"/>
      <x:c r="B123" s="8"/>
      <x:c r="C123" s="8"/>
      <x:c r="D123" s="9">
        <x:f>SUM(D119:D122)</x:f>
        <x:v>25720000</x:v>
      </x:c>
      <x:c r="E123" s="9">
        <x:f>SUM(E119:E122)</x:f>
        <x:v>0</x:v>
      </x:c>
      <x:c r="F123" s="10">
        <x:f>SUM(F119:F122)</x:f>
        <x:v>25720000</x:v>
      </x:c>
      <x:c r="G123" s="11"/>
      <x:c r="H123" s="7" t="s">
        <x:v>155</x:v>
      </x:c>
      <x:c r="I123" s="8"/>
      <x:c r="J123" s="8"/>
      <x:c r="K123" s="80">
        <x:f>SUM(K119:K122)</x:f>
        <x:v>26450000</x:v>
      </x:c>
      <x:c r="L123" s="9">
        <x:f>SUM(L119:L122)</x:f>
        <x:v>0</x:v>
      </x:c>
      <x:c r="M123" s="10">
        <x:f>SUM(M119:M122)</x:f>
        <x:v>26450000</x:v>
      </x:c>
      <x:c r="N123" s="11"/>
      <x:c r="V123" s="1"/>
    </x:row>
    <x:row r="124" spans="1:22" s="2" customFormat="1" ht="20.100000000000001" customHeight="1">
      <x:c r="A124" s="301" t="s">
        <x:v>187</x:v>
      </x:c>
      <x:c r="B124" s="3" t="s">
        <x:v>1124</x:v>
      </x:c>
      <x:c r="C124" s="3" t="s">
        <x:v>1006</x:v>
      </x:c>
      <x:c r="D124" s="44">
        <x:v>935000</x:v>
      </x:c>
      <x:c r="E124" s="4">
        <x:f>+D124*0.1</x:f>
        <x:v>93500</x:v>
      </x:c>
      <x:c r="F124" s="5">
        <x:f>+D124+E124</x:f>
        <x:v>1028500</x:v>
      </x:c>
      <x:c r="G124" s="6"/>
      <x:c r="H124" s="301" t="s">
        <x:v>187</x:v>
      </x:c>
      <x:c r="I124" s="3" t="s">
        <x:v>1568</x:v>
      </x:c>
      <x:c r="J124" s="3" t="s">
        <x:v>946</x:v>
      </x:c>
      <x:c r="K124" s="163">
        <x:v>550000</x:v>
      </x:c>
      <x:c r="L124" s="4">
        <x:f>+K124*0.1</x:f>
        <x:v>55000</x:v>
      </x:c>
      <x:c r="M124" s="5">
        <x:f>+K124+L124</x:f>
        <x:v>605000</x:v>
      </x:c>
      <x:c r="N124" s="6"/>
      <x:c r="V124" s="1"/>
    </x:row>
    <x:row r="125" spans="1:22" s="2" customFormat="1" ht="20.100000000000001" customHeight="1">
      <x:c r="A125" s="299"/>
      <x:c r="B125" s="3" t="s">
        <x:v>460</x:v>
      </x:c>
      <x:c r="C125" s="3" t="s">
        <x:v>1478</x:v>
      </x:c>
      <x:c r="D125" s="4"/>
      <x:c r="E125" s="4"/>
      <x:c r="F125" s="5">
        <x:f>+D125+E125</x:f>
        <x:v>0</x:v>
      </x:c>
      <x:c r="G125" s="6"/>
      <x:c r="H125" s="299"/>
      <x:c r="I125" s="3"/>
      <x:c r="J125" s="3"/>
      <x:c r="K125" s="163"/>
      <x:c r="L125" s="4">
        <x:f>+K125*0.1</x:f>
        <x:v>0</x:v>
      </x:c>
      <x:c r="M125" s="5">
        <x:f>+K125+L125</x:f>
        <x:v>0</x:v>
      </x:c>
      <x:c r="N125" s="6"/>
      <x:c r="V125" s="1"/>
    </x:row>
    <x:row r="126" spans="1:22" s="2" customFormat="1" ht="20.100000000000001" customHeight="1">
      <x:c r="A126" s="299"/>
      <x:c r="B126" s="3" t="s">
        <x:v>461</x:v>
      </x:c>
      <x:c r="C126" s="3" t="s">
        <x:v>1478</x:v>
      </x:c>
      <x:c r="D126" s="4"/>
      <x:c r="E126" s="4"/>
      <x:c r="F126" s="5">
        <x:f>+D126+E126</x:f>
        <x:v>0</x:v>
      </x:c>
      <x:c r="G126" s="6"/>
      <x:c r="H126" s="299"/>
      <x:c r="I126" s="3"/>
      <x:c r="J126" s="3"/>
      <x:c r="K126" s="163"/>
      <x:c r="L126" s="4">
        <x:f>+K126*0.1</x:f>
        <x:v>0</x:v>
      </x:c>
      <x:c r="M126" s="5">
        <x:f>+K126+L126</x:f>
        <x:v>0</x:v>
      </x:c>
      <x:c r="N126" s="6"/>
      <x:c r="V126" s="1"/>
    </x:row>
    <x:row r="127" spans="1:22" s="2" customFormat="1" ht="20.100000000000001" customHeight="1">
      <x:c r="A127" s="300"/>
      <x:c r="B127" s="3"/>
      <x:c r="C127" s="3"/>
      <x:c r="D127" s="4"/>
      <x:c r="E127" s="4"/>
      <x:c r="F127" s="5">
        <x:f>+D127+E127</x:f>
        <x:v>0</x:v>
      </x:c>
      <x:c r="G127" s="6"/>
      <x:c r="H127" s="300"/>
      <x:c r="I127" s="3"/>
      <x:c r="J127" s="3"/>
      <x:c r="K127" s="163"/>
      <x:c r="L127" s="4">
        <x:f>+K127*0.1</x:f>
        <x:v>0</x:v>
      </x:c>
      <x:c r="M127" s="5">
        <x:f>+K127+L127</x:f>
        <x:v>0</x:v>
      </x:c>
      <x:c r="N127" s="6"/>
      <x:c r="V127" s="1"/>
    </x:row>
    <x:row r="128" spans="1:22" s="2" customFormat="1" ht="20.100000000000001" customHeight="1">
      <x:c r="A128" s="7"/>
      <x:c r="B128" s="8"/>
      <x:c r="C128" s="8"/>
      <x:c r="D128" s="9">
        <x:f>SUM(D124:D127)</x:f>
        <x:v>935000</x:v>
      </x:c>
      <x:c r="E128" s="9">
        <x:f>SUM(E124:E127)</x:f>
        <x:v>93500</x:v>
      </x:c>
      <x:c r="F128" s="10">
        <x:f>SUM(F124:F127)</x:f>
        <x:v>1028500</x:v>
      </x:c>
      <x:c r="G128" s="11"/>
      <x:c r="H128" s="7" t="s">
        <x:v>155</x:v>
      </x:c>
      <x:c r="I128" s="8"/>
      <x:c r="J128" s="8"/>
      <x:c r="K128" s="80">
        <x:f>SUM(K124:K127)</x:f>
        <x:v>550000</x:v>
      </x:c>
      <x:c r="L128" s="9">
        <x:f>SUM(L124:L127)</x:f>
        <x:v>55000</x:v>
      </x:c>
      <x:c r="M128" s="10">
        <x:f>SUM(M124:M127)</x:f>
        <x:v>605000</x:v>
      </x:c>
      <x:c r="N128" s="11"/>
      <x:c r="V128" s="1"/>
    </x:row>
    <x:row r="129" spans="1:22" s="2" customFormat="1" ht="20.100000000000001" customHeight="1">
      <x:c r="A129" s="301" t="s">
        <x:v>149</x:v>
      </x:c>
      <x:c r="B129" s="3" t="s">
        <x:v>177</x:v>
      </x:c>
      <x:c r="C129" s="3" t="s">
        <x:v>149</x:v>
      </x:c>
      <x:c r="D129" s="4">
        <x:v>712190</x:v>
      </x:c>
      <x:c r="E129" s="4"/>
      <x:c r="F129" s="5">
        <x:f t="shared" ref="F129:F135" si="25">+D129+E129</x:f>
        <x:v>712190</x:v>
      </x:c>
      <x:c r="G129" s="6"/>
      <x:c r="H129" s="301" t="s">
        <x:v>149</x:v>
      </x:c>
      <x:c r="I129" s="3" t="s">
        <x:v>177</x:v>
      </x:c>
      <x:c r="J129" s="3" t="s">
        <x:v>149</x:v>
      </x:c>
      <x:c r="K129" s="163">
        <x:v>826230</x:v>
      </x:c>
      <x:c r="L129" s="4"/>
      <x:c r="M129" s="5">
        <x:f t="shared" ref="M129:M136" si="26">+K129+L129</x:f>
        <x:v>826230</x:v>
      </x:c>
      <x:c r="N129" s="6"/>
      <x:c r="V129" s="1"/>
    </x:row>
    <x:row r="130" spans="1:22" s="2" customFormat="1" ht="20.100000000000001" customHeight="1">
      <x:c r="A130" s="299"/>
      <x:c r="B130" s="3" t="s">
        <x:v>601</x:v>
      </x:c>
      <x:c r="C130" s="3" t="s">
        <x:v>962</x:v>
      </x:c>
      <x:c r="D130" s="44">
        <x:v>871000</x:v>
      </x:c>
      <x:c r="E130" s="4">
        <x:f>+D130*0.1</x:f>
        <x:v>87100</x:v>
      </x:c>
      <x:c r="F130" s="5">
        <x:f t="shared" si="25"/>
        <x:v>958100</x:v>
      </x:c>
      <x:c r="G130" s="6"/>
      <x:c r="H130" s="299"/>
      <x:c r="I130" s="3" t="s">
        <x:v>1359</x:v>
      </x:c>
      <x:c r="J130" s="3" t="s">
        <x:v>1356</x:v>
      </x:c>
      <x:c r="K130" s="163">
        <x:v>570000</x:v>
      </x:c>
      <x:c r="L130" s="4">
        <x:f>+K130*0.1</x:f>
        <x:v>57000</x:v>
      </x:c>
      <x:c r="M130" s="5">
        <x:f t="shared" si="26"/>
        <x:v>627000</x:v>
      </x:c>
      <x:c r="N130" s="6"/>
      <x:c r="V130" s="1"/>
    </x:row>
    <x:row r="131" spans="1:22" s="2" customFormat="1" ht="20.100000000000001" customHeight="1">
      <x:c r="A131" s="299"/>
      <x:c r="B131" s="3" t="s">
        <x:v>926</x:v>
      </x:c>
      <x:c r="C131" s="3" t="s">
        <x:v>409</x:v>
      </x:c>
      <x:c r="D131" s="44">
        <x:v>367870</x:v>
      </x:c>
      <x:c r="E131" s="4"/>
      <x:c r="F131" s="5">
        <x:f t="shared" si="25"/>
        <x:v>367870</x:v>
      </x:c>
      <x:c r="G131" s="6"/>
      <x:c r="H131" s="299"/>
      <x:c r="I131" s="3" t="s">
        <x:v>1542</x:v>
      </x:c>
      <x:c r="J131" s="3" t="s">
        <x:v>817</x:v>
      </x:c>
      <x:c r="K131" s="163">
        <x:v>840000</x:v>
      </x:c>
      <x:c r="L131" s="4">
        <x:f>+K131*0.1</x:f>
        <x:v>84000</x:v>
      </x:c>
      <x:c r="M131" s="5">
        <x:f t="shared" si="26"/>
        <x:v>924000</x:v>
      </x:c>
      <x:c r="N131" s="6"/>
      <x:c r="V131" s="1"/>
    </x:row>
    <x:row r="132" spans="1:22" s="2" customFormat="1" ht="20.100000000000001" customHeight="1">
      <x:c r="A132" s="299"/>
      <x:c r="B132" s="3" t="s">
        <x:v>947</x:v>
      </x:c>
      <x:c r="C132" s="3" t="s">
        <x:v>914</x:v>
      </x:c>
      <x:c r="D132" s="44">
        <x:v>50000</x:v>
      </x:c>
      <x:c r="E132" s="4">
        <x:f>+D132*0.1</x:f>
        <x:v>5000</x:v>
      </x:c>
      <x:c r="F132" s="5">
        <x:f t="shared" si="25"/>
        <x:v>55000</x:v>
      </x:c>
      <x:c r="G132" s="6"/>
      <x:c r="H132" s="299"/>
      <x:c r="I132" s="3" t="s">
        <x:v>1558</x:v>
      </x:c>
      <x:c r="J132" s="3" t="s">
        <x:v>817</x:v>
      </x:c>
      <x:c r="K132" s="163">
        <x:v>270000</x:v>
      </x:c>
      <x:c r="L132" s="4">
        <x:f>+K132*0.1</x:f>
        <x:v>27000</x:v>
      </x:c>
      <x:c r="M132" s="5">
        <x:f t="shared" si="26"/>
        <x:v>297000</x:v>
      </x:c>
      <x:c r="N132" s="6"/>
      <x:c r="V132" s="1"/>
    </x:row>
    <x:row r="133" spans="1:22" s="2" customFormat="1" ht="20.100000000000001" customHeight="1">
      <x:c r="A133" s="299"/>
      <x:c r="B133" s="3" t="s">
        <x:v>1327</x:v>
      </x:c>
      <x:c r="C133" s="3" t="s">
        <x:v>167</x:v>
      </x:c>
      <x:c r="D133" s="44">
        <x:v>104000</x:v>
      </x:c>
      <x:c r="E133" s="4">
        <x:f>+D133*0.1</x:f>
        <x:v>10400</x:v>
      </x:c>
      <x:c r="F133" s="5">
        <x:f t="shared" si="25"/>
        <x:v>114400</x:v>
      </x:c>
      <x:c r="G133" s="6"/>
      <x:c r="H133" s="299"/>
      <x:c r="I133" s="3" t="s">
        <x:v>1610</x:v>
      </x:c>
      <x:c r="J133" s="3" t="s">
        <x:v>300</x:v>
      </x:c>
      <x:c r="K133" s="163">
        <x:v>138836</x:v>
      </x:c>
      <x:c r="L133" s="4">
        <x:v>13884</x:v>
      </x:c>
      <x:c r="M133" s="5">
        <x:f t="shared" si="26"/>
        <x:v>152720</x:v>
      </x:c>
      <x:c r="N133" s="6"/>
      <x:c r="V133" s="1"/>
    </x:row>
    <x:row r="134" spans="1:22" s="2" customFormat="1" ht="20.100000000000001" customHeight="1">
      <x:c r="A134" s="299"/>
      <x:c r="B134" s="3" t="s">
        <x:v>247</x:v>
      </x:c>
      <x:c r="C134" s="3" t="s">
        <x:v>231</x:v>
      </x:c>
      <x:c r="D134" s="44">
        <x:v>20000</x:v>
      </x:c>
      <x:c r="E134" s="4">
        <x:f>+D134*0.1</x:f>
        <x:v>2000</x:v>
      </x:c>
      <x:c r="F134" s="5">
        <x:f t="shared" si="25"/>
        <x:v>22000</x:v>
      </x:c>
      <x:c r="G134" s="6"/>
      <x:c r="H134" s="299"/>
      <x:c r="I134" s="3"/>
      <x:c r="J134" s="3"/>
      <x:c r="K134" s="4"/>
      <x:c r="L134" s="4"/>
      <x:c r="M134" s="5">
        <x:f t="shared" si="26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1444</x:v>
      </x:c>
      <x:c r="C135" s="3" t="s">
        <x:v>817</x:v>
      </x:c>
      <x:c r="D135" s="44">
        <x:v>900000</x:v>
      </x:c>
      <x:c r="E135" s="4">
        <x:f>+D135*0.1</x:f>
        <x:v>90000</x:v>
      </x:c>
      <x:c r="F135" s="5">
        <x:f t="shared" si="25"/>
        <x:v>990000</x:v>
      </x:c>
      <x:c r="G135" s="6"/>
      <x:c r="H135" s="299"/>
      <x:c r="I135" s="3"/>
      <x:c r="J135" s="3"/>
      <x:c r="K135" s="4"/>
      <x:c r="L135" s="4"/>
      <x:c r="M135" s="5">
        <x:f t="shared" si="26"/>
        <x:v>0</x:v>
      </x:c>
      <x:c r="N135" s="6"/>
      <x:c r="V135" s="1"/>
    </x:row>
    <x:row r="136" spans="1:22" s="2" customFormat="1" ht="20.100000000000001" customHeight="1">
      <x:c r="A136" s="300"/>
      <x:c r="B136" s="3"/>
      <x:c r="C136" s="3"/>
      <x:c r="D136" s="4"/>
      <x:c r="E136" s="4"/>
      <x:c r="F136" s="5"/>
      <x:c r="G136" s="6"/>
      <x:c r="H136" s="300"/>
      <x:c r="I136" s="3"/>
      <x:c r="J136" s="3"/>
      <x:c r="K136" s="4"/>
      <x:c r="L136" s="4"/>
      <x:c r="M136" s="5">
        <x:f t="shared" si="26"/>
        <x:v>0</x:v>
      </x:c>
      <x:c r="N136" s="6"/>
      <x:c r="V136" s="1"/>
    </x:row>
    <x:row r="137" spans="1:22" s="2" customFormat="1" ht="20.100000000000001" customHeight="1">
      <x:c r="A137" s="7"/>
      <x:c r="B137" s="8"/>
      <x:c r="C137" s="8"/>
      <x:c r="D137" s="9">
        <x:f>SUM(D129:D136)</x:f>
        <x:v>3025060</x:v>
      </x:c>
      <x:c r="E137" s="9">
        <x:f>SUM(E129:E136)</x:f>
        <x:v>194500</x:v>
      </x:c>
      <x:c r="F137" s="10">
        <x:f>SUM(F129:F136)</x:f>
        <x:v>3219560</x:v>
      </x:c>
      <x:c r="G137" s="11"/>
      <x:c r="H137" s="7" t="s">
        <x:v>155</x:v>
      </x:c>
      <x:c r="I137" s="8"/>
      <x:c r="J137" s="8"/>
      <x:c r="K137" s="9">
        <x:f>SUM(K129:K136)</x:f>
        <x:v>2645066</x:v>
      </x:c>
      <x:c r="L137" s="9">
        <x:f>SUM(L129:L136)</x:f>
        <x:v>181884</x:v>
      </x:c>
      <x:c r="M137" s="10">
        <x:f>SUM(M129:M136)</x:f>
        <x:v>2826950</x:v>
      </x:c>
      <x:c r="N137" s="11"/>
      <x:c r="V137" s="1"/>
    </x:row>
    <x:row r="138" spans="1:22" s="2" customFormat="1" ht="20.100000000000001" customHeight="1">
      <x:c r="A138" s="12"/>
      <x:c r="B138" s="13"/>
      <x:c r="C138" s="13"/>
      <x:c r="D138" s="14">
        <x:f>+D118+D123+D128+D137</x:f>
        <x:v>87830052</x:v>
      </x:c>
      <x:c r="E138" s="14">
        <x:f>+E118+E123+E128+E137</x:f>
        <x:v>6102996.2000000002</x:v>
      </x:c>
      <x:c r="F138" s="15">
        <x:f>+F118+F123+F128+F137</x:f>
        <x:v>93933048.200000003</x:v>
      </x:c>
      <x:c r="G138" s="16"/>
      <x:c r="H138" s="12" t="s">
        <x:v>1690</x:v>
      </x:c>
      <x:c r="I138" s="13"/>
      <x:c r="J138" s="13"/>
      <x:c r="K138" s="14">
        <x:f>+K118+K123+K128+K137</x:f>
        <x:v>79922466</x:v>
      </x:c>
      <x:c r="L138" s="14">
        <x:f>+L118+L123+L128+L137</x:f>
        <x:v>5264624</x:v>
      </x:c>
      <x:c r="M138" s="15">
        <x:f>+M118+M123+M128+M137</x:f>
        <x:v>85187090</x:v>
      </x:c>
      <x:c r="N138" s="16"/>
      <x:c r="V138" s="1"/>
    </x:row>
    <x:row r="139" spans="1:22" s="2" customFormat="1" ht="20.100000000000001" customHeight="1">
      <x:c r="A139" s="23"/>
      <x:c r="B139" s="24"/>
      <x:c r="C139" s="24"/>
      <x:c r="D139" s="25">
        <x:f>+D97-D138</x:f>
        <x:v>32169948</x:v>
      </x:c>
      <x:c r="E139" s="25">
        <x:f>+E97-E138</x:f>
        <x:v>5897003.7999999998</x:v>
      </x:c>
      <x:c r="F139" s="26">
        <x:f>+F97-F138</x:f>
        <x:v>38066951.799999997</x:v>
      </x:c>
      <x:c r="G139" s="27"/>
      <x:c r="H139" s="23" t="s">
        <x:v>35</x:v>
      </x:c>
      <x:c r="I139" s="24"/>
      <x:c r="J139" s="24"/>
      <x:c r="K139" s="25">
        <x:f>+K97-K138</x:f>
        <x:v>11947534</x:v>
      </x:c>
      <x:c r="L139" s="25">
        <x:f>+L97-L138</x:f>
        <x:v>3735376</x:v>
      </x:c>
      <x:c r="M139" s="26">
        <x:f>+M97-M138</x:f>
        <x:v>15682910</x:v>
      </x:c>
      <x:c r="N139" s="27"/>
      <x:c r="V139" s="1"/>
    </x:row>
    <x:row r="140" spans="1:22" s="2" customFormat="1" ht="20.100000000000001" customHeight="1">
      <x:c r="A140" s="302" t="s">
        <x:v>423</x:v>
      </x:c>
      <x:c r="B140" s="303"/>
      <x:c r="C140" s="303"/>
      <x:c r="D140" s="303"/>
      <x:c r="E140" s="303"/>
      <x:c r="F140" s="304"/>
      <x:c r="G140" s="305"/>
      <x:c r="H140" s="302" t="s">
        <x:v>494</x:v>
      </x:c>
      <x:c r="I140" s="303"/>
      <x:c r="J140" s="303"/>
      <x:c r="K140" s="303"/>
      <x:c r="L140" s="303"/>
      <x:c r="M140" s="304"/>
      <x:c r="N140" s="305"/>
      <x:c r="V140" s="1"/>
    </x:row>
    <x:row r="141" spans="1:22" s="2" customFormat="1" ht="20.100000000000001" customHeight="1">
      <x:c r="A141" s="29" t="s">
        <x:v>147</x:v>
      </x:c>
      <x:c r="B141" s="224" t="s">
        <x:v>144</x:v>
      </x:c>
      <x:c r="C141" s="224" t="s">
        <x:v>150</x:v>
      </x:c>
      <x:c r="D141" s="31" t="s">
        <x:v>145</x:v>
      </x:c>
      <x:c r="E141" s="31" t="s">
        <x:v>152</x:v>
      </x:c>
      <x:c r="F141" s="32" t="s">
        <x:v>146</x:v>
      </x:c>
      <x:c r="G141" s="33" t="s">
        <x:v>154</x:v>
      </x:c>
      <x:c r="H141" s="29" t="s">
        <x:v>147</x:v>
      </x:c>
      <x:c r="I141" s="224" t="s">
        <x:v>144</x:v>
      </x:c>
      <x:c r="J141" s="224" t="s">
        <x:v>150</x:v>
      </x:c>
      <x:c r="K141" s="31" t="s">
        <x:v>145</x:v>
      </x:c>
      <x:c r="L141" s="31" t="s">
        <x:v>152</x:v>
      </x:c>
      <x:c r="M141" s="31" t="s">
        <x:v>146</x:v>
      </x:c>
      <x:c r="N141" s="34" t="s">
        <x:v>154</x:v>
      </x:c>
      <x:c r="V141" s="1"/>
    </x:row>
    <x:row r="142" spans="1:22" s="2" customFormat="1" ht="20.100000000000001" customHeight="1">
      <x:c r="A142" s="223" t="s">
        <x:v>151</x:v>
      </x:c>
      <x:c r="B142" s="38" t="s">
        <x:v>1679</x:v>
      </x:c>
      <x:c r="C142" s="38" t="s">
        <x:v>156</x:v>
      </x:c>
      <x:c r="D142" s="39"/>
      <x:c r="E142" s="39"/>
      <x:c r="F142" s="40">
        <x:f t="shared" ref="F142:F157" si="27">+D142+E142</x:f>
        <x:v>0</x:v>
      </x:c>
      <x:c r="G142" s="18"/>
      <x:c r="H142" s="41" t="s">
        <x:v>151</x:v>
      </x:c>
      <x:c r="I142" s="38" t="s">
        <x:v>1679</x:v>
      </x:c>
      <x:c r="J142" s="38" t="s">
        <x:v>1030</x:v>
      </x:c>
      <x:c r="K142" s="39"/>
      <x:c r="L142" s="39"/>
      <x:c r="M142" s="40">
        <x:f>+K142+L142</x:f>
        <x:v>0</x:v>
      </x:c>
      <x:c r="N142" s="42"/>
      <x:c r="V142" s="1"/>
    </x:row>
    <x:row r="143" spans="1:22" s="2" customFormat="1" ht="20.100000000000001" customHeight="1">
      <x:c r="A143" s="298" t="s">
        <x:v>148</x:v>
      </x:c>
      <x:c r="B143" s="54" t="s">
        <x:v>1329</x:v>
      </x:c>
      <x:c r="C143" s="54" t="s">
        <x:v>1112</x:v>
      </x:c>
      <x:c r="D143" s="93">
        <x:v>36630600</x:v>
      </x:c>
      <x:c r="E143" s="93">
        <x:f t="shared" ref="E143:E155" si="28">+INT(D143*0.1)</x:f>
        <x:v>3663060</x:v>
      </x:c>
      <x:c r="F143" s="94">
        <x:f t="shared" si="27"/>
        <x:v>40293660</x:v>
      </x:c>
      <x:c r="G143" s="95" t="s">
        <x:v>273</x:v>
      </x:c>
      <x:c r="H143" s="298" t="s">
        <x:v>148</x:v>
      </x:c>
      <x:c r="I143" s="19" t="s">
        <x:v>867</x:v>
      </x:c>
      <x:c r="J143" s="19" t="s">
        <x:v>375</x:v>
      </x:c>
      <x:c r="K143" s="20">
        <x:v>799500</x:v>
      </x:c>
      <x:c r="L143" s="20">
        <x:f>+K143*0.1</x:f>
        <x:v>79950</x:v>
      </x:c>
      <x:c r="M143" s="21">
        <x:f t="shared" ref="M143:M158" si="29">+K143+L143</x:f>
        <x:v>879450</x:v>
      </x:c>
      <x:c r="N143" s="22"/>
      <x:c r="V143" s="1"/>
    </x:row>
    <x:row r="144" spans="1:22" s="2" customFormat="1" ht="20.100000000000001" customHeight="1">
      <x:c r="A144" s="299"/>
      <x:c r="B144" s="162" t="s">
        <x:v>1358</x:v>
      </x:c>
      <x:c r="C144" s="162"/>
      <x:c r="D144" s="163"/>
      <x:c r="E144" s="4">
        <x:f t="shared" si="28"/>
        <x:v>0</x:v>
      </x:c>
      <x:c r="F144" s="193">
        <x:f t="shared" si="27"/>
        <x:v>0</x:v>
      </x:c>
      <x:c r="G144" s="180" t="s">
        <x:v>258</x:v>
      </x:c>
      <x:c r="H144" s="299"/>
      <x:c r="I144" s="3" t="s">
        <x:v>1348</x:v>
      </x:c>
      <x:c r="J144" s="3" t="s">
        <x:v>279</x:v>
      </x:c>
      <x:c r="K144" s="4">
        <x:v>6800</x:v>
      </x:c>
      <x:c r="L144" s="4">
        <x:f>+K144*0.1</x:f>
        <x:v>680</x:v>
      </x:c>
      <x:c r="M144" s="5">
        <x:f t="shared" si="29"/>
        <x:v>7480</x:v>
      </x:c>
      <x:c r="N144" s="6"/>
      <x:c r="V144" s="1"/>
    </x:row>
    <x:row r="145" spans="1:22" s="2" customFormat="1" ht="20.100000000000001" customHeight="1">
      <x:c r="A145" s="299"/>
      <x:c r="B145" s="3" t="s">
        <x:v>1362</x:v>
      </x:c>
      <x:c r="C145" s="3"/>
      <x:c r="D145" s="4"/>
      <x:c r="E145" s="4">
        <x:f t="shared" si="28"/>
        <x:v>0</x:v>
      </x:c>
      <x:c r="F145" s="194">
        <x:f t="shared" si="27"/>
        <x:v>0</x:v>
      </x:c>
      <x:c r="G145" s="180" t="s">
        <x:v>258</x:v>
      </x:c>
      <x:c r="H145" s="299"/>
      <x:c r="I145" s="3" t="s">
        <x:v>838</x:v>
      </x:c>
      <x:c r="J145" s="3" t="s">
        <x:v>1152</x:v>
      </x:c>
      <x:c r="K145" s="4">
        <x:v>1807920</x:v>
      </x:c>
      <x:c r="L145" s="4">
        <x:f>+K145*0.1</x:f>
        <x:v>180792</x:v>
      </x:c>
      <x:c r="M145" s="5">
        <x:f t="shared" si="29"/>
        <x:v>1988712</x:v>
      </x:c>
      <x:c r="N145" s="6"/>
      <x:c r="V145" s="1"/>
    </x:row>
    <x:row r="146" spans="1:22" s="2" customFormat="1" ht="20.100000000000001" customHeight="1">
      <x:c r="A146" s="299"/>
      <x:c r="B146" s="3" t="s">
        <x:v>1363</x:v>
      </x:c>
      <x:c r="C146" s="3"/>
      <x:c r="D146" s="4"/>
      <x:c r="E146" s="4">
        <x:f t="shared" si="28"/>
        <x:v>0</x:v>
      </x:c>
      <x:c r="F146" s="194">
        <x:f t="shared" si="27"/>
        <x:v>0</x:v>
      </x:c>
      <x:c r="G146" s="180" t="s">
        <x:v>258</x:v>
      </x:c>
      <x:c r="H146" s="299"/>
      <x:c r="I146" s="3" t="s">
        <x:v>938</x:v>
      </x:c>
      <x:c r="J146" s="3" t="s">
        <x:v>1094</x:v>
      </x:c>
      <x:c r="K146" s="4">
        <x:v>301000</x:v>
      </x:c>
      <x:c r="L146" s="4">
        <x:f>+K146*0.1</x:f>
        <x:v>30100</x:v>
      </x:c>
      <x:c r="M146" s="5">
        <x:f t="shared" si="29"/>
        <x:v>331100</x:v>
      </x:c>
      <x:c r="N146" s="6"/>
      <x:c r="V146" s="1"/>
    </x:row>
    <x:row r="147" spans="1:22" s="2" customFormat="1" ht="20.100000000000001" customHeight="1">
      <x:c r="A147" s="299"/>
      <x:c r="B147" s="3" t="s">
        <x:v>1372</x:v>
      </x:c>
      <x:c r="C147" s="3"/>
      <x:c r="D147" s="4"/>
      <x:c r="E147" s="4">
        <x:f t="shared" si="28"/>
        <x:v>0</x:v>
      </x:c>
      <x:c r="F147" s="194">
        <x:f t="shared" si="27"/>
        <x:v>0</x:v>
      </x:c>
      <x:c r="G147" s="180" t="s">
        <x:v>258</x:v>
      </x:c>
      <x:c r="H147" s="299"/>
      <x:c r="I147" s="3" t="s">
        <x:v>976</x:v>
      </x:c>
      <x:c r="J147" s="3"/>
      <x:c r="K147" s="4"/>
      <x:c r="L147" s="4"/>
      <x:c r="M147" s="5">
        <x:f t="shared" si="29"/>
        <x:v>0</x:v>
      </x:c>
      <x:c r="N147" s="6"/>
      <x:c r="V147" s="1"/>
    </x:row>
    <x:row r="148" spans="1:22" s="2" customFormat="1" ht="20.100000000000001" customHeight="1">
      <x:c r="A148" s="299"/>
      <x:c r="B148" s="3" t="s">
        <x:v>1380</x:v>
      </x:c>
      <x:c r="C148" s="3" t="s">
        <x:v>1377</x:v>
      </x:c>
      <x:c r="D148" s="4"/>
      <x:c r="E148" s="4">
        <x:f t="shared" si="28"/>
        <x:v>0</x:v>
      </x:c>
      <x:c r="F148" s="194">
        <x:f t="shared" si="27"/>
        <x:v>0</x:v>
      </x:c>
      <x:c r="G148" s="180" t="s">
        <x:v>258</x:v>
      </x:c>
      <x:c r="H148" s="299"/>
      <x:c r="I148" s="3" t="s">
        <x:v>846</x:v>
      </x:c>
      <x:c r="J148" s="3" t="s">
        <x:v>1554</x:v>
      </x:c>
      <x:c r="K148" s="4">
        <x:v>555000</x:v>
      </x:c>
      <x:c r="L148" s="4">
        <x:f>+K148*0.1</x:f>
        <x:v>55500</x:v>
      </x:c>
      <x:c r="M148" s="5">
        <x:f t="shared" si="29"/>
        <x:v>610500</x:v>
      </x:c>
      <x:c r="N148" s="6"/>
      <x:c r="V148" s="1"/>
    </x:row>
    <x:row r="149" spans="1:22" s="2" customFormat="1" ht="20.100000000000001" customHeight="1">
      <x:c r="A149" s="299"/>
      <x:c r="B149" s="3" t="s">
        <x:v>938</x:v>
      </x:c>
      <x:c r="C149" s="3"/>
      <x:c r="D149" s="4"/>
      <x:c r="E149" s="4">
        <x:f t="shared" si="28"/>
        <x:v>0</x:v>
      </x:c>
      <x:c r="F149" s="194">
        <x:f t="shared" si="27"/>
        <x:v>0</x:v>
      </x:c>
      <x:c r="G149" s="6" t="s">
        <x:v>273</x:v>
      </x:c>
      <x:c r="H149" s="299"/>
      <x:c r="I149" s="3" t="s">
        <x:v>1378</x:v>
      </x:c>
      <x:c r="J149" s="3" t="s">
        <x:v>1104</x:v>
      </x:c>
      <x:c r="K149" s="4">
        <x:v>78480</x:v>
      </x:c>
      <x:c r="L149" s="4">
        <x:f>+K149*0.1</x:f>
        <x:v>7848</x:v>
      </x:c>
      <x:c r="M149" s="5">
        <x:f t="shared" si="29"/>
        <x:v>86328</x:v>
      </x:c>
      <x:c r="N149" s="6"/>
      <x:c r="V149" s="1"/>
    </x:row>
    <x:row r="150" spans="1:22" s="2" customFormat="1" ht="20.100000000000001" customHeight="1">
      <x:c r="A150" s="299"/>
      <x:c r="B150" s="3" t="s">
        <x:v>1418</x:v>
      </x:c>
      <x:c r="C150" s="3"/>
      <x:c r="D150" s="4"/>
      <x:c r="E150" s="4">
        <x:f t="shared" si="28"/>
        <x:v>0</x:v>
      </x:c>
      <x:c r="F150" s="194">
        <x:f t="shared" si="27"/>
        <x:v>0</x:v>
      </x:c>
      <x:c r="G150" s="180" t="s">
        <x:v>258</x:v>
      </x:c>
      <x:c r="H150" s="299"/>
      <x:c r="I150" s="3"/>
      <x:c r="J150" s="3"/>
      <x:c r="K150" s="4"/>
      <x:c r="L150" s="4"/>
      <x:c r="M150" s="5">
        <x:f t="shared" si="29"/>
        <x:v>0</x:v>
      </x:c>
      <x:c r="N150" s="6"/>
      <x:c r="V150" s="1"/>
    </x:row>
    <x:row r="151" spans="1:22" s="2" customFormat="1" ht="20.100000000000001" customHeight="1">
      <x:c r="A151" s="299"/>
      <x:c r="B151" s="3" t="s">
        <x:v>1406</x:v>
      </x:c>
      <x:c r="C151" s="3"/>
      <x:c r="D151" s="4"/>
      <x:c r="E151" s="4">
        <x:f t="shared" si="28"/>
        <x:v>0</x:v>
      </x:c>
      <x:c r="F151" s="194">
        <x:f t="shared" si="27"/>
        <x:v>0</x:v>
      </x:c>
      <x:c r="G151" s="180" t="s">
        <x:v>258</x:v>
      </x:c>
      <x:c r="H151" s="299"/>
      <x:c r="I151" s="3"/>
      <x:c r="J151" s="3"/>
      <x:c r="K151" s="4"/>
      <x:c r="L151" s="4"/>
      <x:c r="M151" s="5"/>
      <x:c r="N151" s="6"/>
      <x:c r="V151" s="1"/>
    </x:row>
    <x:row r="152" spans="1:22" s="2" customFormat="1" ht="20.100000000000001" customHeight="1">
      <x:c r="A152" s="299"/>
      <x:c r="B152" s="3" t="s">
        <x:v>276</x:v>
      </x:c>
      <x:c r="C152" s="3"/>
      <x:c r="D152" s="4"/>
      <x:c r="E152" s="4">
        <x:f t="shared" si="28"/>
        <x:v>0</x:v>
      </x:c>
      <x:c r="F152" s="194">
        <x:f t="shared" si="27"/>
        <x:v>0</x:v>
      </x:c>
      <x:c r="G152" s="180" t="s">
        <x:v>258</x:v>
      </x:c>
      <x:c r="H152" s="299"/>
      <x:c r="I152" s="3"/>
      <x:c r="J152" s="3"/>
      <x:c r="K152" s="4"/>
      <x:c r="L152" s="4">
        <x:f t="shared" ref="L152:L158" si="30">+K152*0.1</x:f>
        <x:v>0</x:v>
      </x:c>
      <x:c r="M152" s="5">
        <x:f t="shared" si="29"/>
        <x:v>0</x:v>
      </x:c>
      <x:c r="N152" s="6"/>
      <x:c r="V152" s="1"/>
    </x:row>
    <x:row r="153" spans="1:22" s="2" customFormat="1" ht="20.100000000000001" customHeight="1">
      <x:c r="A153" s="299"/>
      <x:c r="B153" s="3" t="s">
        <x:v>1400</x:v>
      </x:c>
      <x:c r="C153" s="3" t="s">
        <x:v>491</x:v>
      </x:c>
      <x:c r="D153" s="4">
        <x:v>288000</x:v>
      </x:c>
      <x:c r="E153" s="4">
        <x:f t="shared" si="28"/>
        <x:v>28800</x:v>
      </x:c>
      <x:c r="F153" s="194">
        <x:f t="shared" si="27"/>
        <x:v>316800</x:v>
      </x:c>
      <x:c r="G153" s="6" t="s">
        <x:v>273</x:v>
      </x:c>
      <x:c r="H153" s="299"/>
      <x:c r="I153" s="3"/>
      <x:c r="J153" s="3"/>
      <x:c r="K153" s="4"/>
      <x:c r="L153" s="4">
        <x:f t="shared" si="30"/>
        <x:v>0</x:v>
      </x:c>
      <x:c r="M153" s="5">
        <x:f t="shared" si="29"/>
        <x:v>0</x:v>
      </x:c>
      <x:c r="N153" s="6"/>
      <x:c r="V153" s="1"/>
    </x:row>
    <x:row r="154" spans="1:22" s="2" customFormat="1" ht="20.100000000000001" customHeight="1">
      <x:c r="A154" s="299"/>
      <x:c r="B154" s="3" t="s">
        <x:v>1448</x:v>
      </x:c>
      <x:c r="C154" s="3" t="s">
        <x:v>272</x:v>
      </x:c>
      <x:c r="D154" s="4"/>
      <x:c r="E154" s="4">
        <x:f t="shared" si="28"/>
        <x:v>0</x:v>
      </x:c>
      <x:c r="F154" s="5">
        <x:f t="shared" si="27"/>
        <x:v>0</x:v>
      </x:c>
      <x:c r="G154" s="6" t="s">
        <x:v>273</x:v>
      </x:c>
      <x:c r="H154" s="299"/>
      <x:c r="I154" s="3"/>
      <x:c r="J154" s="3"/>
      <x:c r="K154" s="4"/>
      <x:c r="L154" s="4">
        <x:f t="shared" si="30"/>
        <x:v>0</x:v>
      </x:c>
      <x:c r="M154" s="5">
        <x:f t="shared" si="29"/>
        <x:v>0</x:v>
      </x:c>
      <x:c r="N154" s="6"/>
      <x:c r="V154" s="1"/>
    </x:row>
    <x:row r="155" spans="1:22" s="2" customFormat="1" ht="20.100000000000001" customHeight="1">
      <x:c r="A155" s="299"/>
      <x:c r="B155" s="3"/>
      <x:c r="C155" s="3"/>
      <x:c r="D155" s="4"/>
      <x:c r="E155" s="4">
        <x:f t="shared" si="28"/>
        <x:v>0</x:v>
      </x:c>
      <x:c r="F155" s="5">
        <x:f t="shared" si="27"/>
        <x:v>0</x:v>
      </x:c>
      <x:c r="G155" s="6"/>
      <x:c r="H155" s="299"/>
      <x:c r="I155" s="3"/>
      <x:c r="J155" s="3"/>
      <x:c r="K155" s="4"/>
      <x:c r="L155" s="4">
        <x:f t="shared" si="30"/>
        <x:v>0</x:v>
      </x:c>
      <x:c r="M155" s="5">
        <x:f t="shared" si="29"/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/>
      <x:c r="G156" s="6"/>
      <x:c r="H156" s="299"/>
      <x:c r="I156" s="3"/>
      <x:c r="J156" s="3"/>
      <x:c r="K156" s="4"/>
      <x:c r="L156" s="4">
        <x:f t="shared" si="30"/>
        <x:v>0</x:v>
      </x:c>
      <x:c r="M156" s="5">
        <x:f t="shared" si="29"/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>
        <x:f t="shared" si="27"/>
        <x:v>0</x:v>
      </x:c>
      <x:c r="G157" s="6"/>
      <x:c r="H157" s="299"/>
      <x:c r="I157" s="3"/>
      <x:c r="J157" s="3"/>
      <x:c r="K157" s="4"/>
      <x:c r="L157" s="4">
        <x:f t="shared" si="30"/>
        <x:v>0</x:v>
      </x:c>
      <x:c r="M157" s="5">
        <x:f t="shared" si="29"/>
        <x:v>0</x:v>
      </x:c>
      <x:c r="N157" s="6"/>
      <x:c r="V157" s="1"/>
    </x:row>
    <x:row r="158" spans="1:22" s="2" customFormat="1" ht="20.100000000000001" customHeight="1">
      <x:c r="A158" s="300"/>
      <x:c r="B158" s="3"/>
      <x:c r="C158" s="3"/>
      <x:c r="D158" s="4"/>
      <x:c r="E158" s="4"/>
      <x:c r="F158" s="5"/>
      <x:c r="G158" s="6"/>
      <x:c r="H158" s="300"/>
      <x:c r="I158" s="3"/>
      <x:c r="J158" s="3"/>
      <x:c r="K158" s="4"/>
      <x:c r="L158" s="4">
        <x:f t="shared" si="30"/>
        <x:v>0</x:v>
      </x:c>
      <x:c r="M158" s="5">
        <x:f t="shared" si="29"/>
        <x:v>0</x:v>
      </x:c>
      <x:c r="N158" s="6"/>
      <x:c r="V158" s="1"/>
    </x:row>
    <x:row r="159" spans="1:22" s="2" customFormat="1" ht="20.100000000000001" customHeight="1">
      <x:c r="A159" s="7" t="s">
        <x:v>155</x:v>
      </x:c>
      <x:c r="B159" s="8"/>
      <x:c r="C159" s="8"/>
      <x:c r="D159" s="9">
        <x:f>SUM(D143:D158)</x:f>
        <x:v>36918600</x:v>
      </x:c>
      <x:c r="E159" s="9">
        <x:f>SUM(E143:E158)</x:f>
        <x:v>3691860</x:v>
      </x:c>
      <x:c r="F159" s="10">
        <x:f>SUM(F143:F158)</x:f>
        <x:v>40610460</x:v>
      </x:c>
      <x:c r="G159" s="11"/>
      <x:c r="H159" s="7"/>
      <x:c r="I159" s="8"/>
      <x:c r="J159" s="8"/>
      <x:c r="K159" s="9">
        <x:f>SUM(K143:K158)</x:f>
        <x:v>3548700</x:v>
      </x:c>
      <x:c r="L159" s="9">
        <x:f>SUM(L143:L158)</x:f>
        <x:v>354870</x:v>
      </x:c>
      <x:c r="M159" s="10">
        <x:f>SUM(M143:M158)</x:f>
        <x:v>3903570</x:v>
      </x:c>
      <x:c r="N159" s="11"/>
      <x:c r="V159" s="1"/>
    </x:row>
    <x:row r="160" spans="1:22" s="2" customFormat="1" ht="20.100000000000001" customHeight="1">
      <x:c r="A160" s="301" t="s">
        <x:v>153</x:v>
      </x:c>
      <x:c r="B160" s="3" t="s">
        <x:v>1241</x:v>
      </x:c>
      <x:c r="C160" s="3" t="s">
        <x:v>1594</x:v>
      </x:c>
      <x:c r="D160" s="44"/>
      <x:c r="E160" s="44"/>
      <x:c r="F160" s="45">
        <x:f>+D160+E160</x:f>
        <x:v>0</x:v>
      </x:c>
      <x:c r="G160" s="180" t="s">
        <x:v>258</x:v>
      </x:c>
      <x:c r="H160" s="301" t="s">
        <x:v>153</x:v>
      </x:c>
      <x:c r="I160" s="3" t="s">
        <x:v>1677</x:v>
      </x:c>
      <x:c r="J160" s="3" t="s">
        <x:v>1083</x:v>
      </x:c>
      <x:c r="K160" s="4">
        <x:v>22230000</x:v>
      </x:c>
      <x:c r="L160" s="4"/>
      <x:c r="M160" s="5">
        <x:f>+K160+L160</x:f>
        <x:v>22230000</x:v>
      </x:c>
      <x:c r="N160" s="6"/>
      <x:c r="V160" s="1"/>
    </x:row>
    <x:row r="161" spans="1:22" s="2" customFormat="1" ht="20.100000000000001" customHeight="1">
      <x:c r="A161" s="299"/>
      <x:c r="B161" s="3"/>
      <x:c r="C161" s="3"/>
      <x:c r="D161" s="44"/>
      <x:c r="E161" s="44">
        <x:f>+D161*0.1</x:f>
        <x:v>0</x:v>
      </x:c>
      <x:c r="F161" s="45">
        <x:f>+D161+E161</x:f>
        <x:v>0</x:v>
      </x:c>
      <x:c r="G161" s="37"/>
      <x:c r="H161" s="299"/>
      <x:c r="I161" s="3"/>
      <x:c r="J161" s="3"/>
      <x:c r="K161" s="4"/>
      <x:c r="L161" s="4">
        <x:f>+K161*0.1</x:f>
        <x:v>0</x:v>
      </x:c>
      <x:c r="M161" s="5">
        <x:f>+K161+L161</x:f>
        <x:v>0</x:v>
      </x:c>
      <x:c r="N161" s="6"/>
      <x:c r="V161" s="1"/>
    </x:row>
    <x:row r="162" spans="1:22" s="2" customFormat="1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>+D162+E162</x:f>
        <x:v>0</x:v>
      </x:c>
      <x:c r="G162" s="6"/>
      <x:c r="H162" s="299"/>
      <x:c r="I162" s="3"/>
      <x:c r="J162" s="3"/>
      <x:c r="K162" s="4"/>
      <x:c r="L162" s="4">
        <x:f>+K162*0.1</x:f>
        <x:v>0</x:v>
      </x:c>
      <x:c r="M162" s="5">
        <x:f>+K162+L162</x:f>
        <x:v>0</x:v>
      </x:c>
      <x:c r="N162" s="6"/>
      <x:c r="V162" s="1"/>
    </x:row>
    <x:row r="163" spans="1:22" s="2" customFormat="1" ht="20.100000000000001" customHeight="1">
      <x:c r="A163" s="300"/>
      <x:c r="B163" s="3"/>
      <x:c r="C163" s="3"/>
      <x:c r="D163" s="4"/>
      <x:c r="E163" s="4">
        <x:f>+D163*0.1</x:f>
        <x:v>0</x:v>
      </x:c>
      <x:c r="F163" s="5">
        <x:f>+D163+E163</x:f>
        <x:v>0</x:v>
      </x:c>
      <x:c r="G163" s="6"/>
      <x:c r="H163" s="300"/>
      <x:c r="I163" s="3"/>
      <x:c r="J163" s="3"/>
      <x:c r="K163" s="4"/>
      <x:c r="L163" s="4">
        <x:f>+K163*0.1</x:f>
        <x:v>0</x:v>
      </x:c>
      <x:c r="M163" s="5">
        <x:f>+K163+L163</x:f>
        <x:v>0</x:v>
      </x:c>
      <x:c r="N163" s="6"/>
      <x:c r="V163" s="1"/>
    </x:row>
    <x:row r="164" spans="1:22" s="2" customFormat="1" ht="20.100000000000001" customHeight="1">
      <x:c r="A164" s="7" t="s">
        <x:v>155</x:v>
      </x:c>
      <x:c r="B164" s="8"/>
      <x:c r="C164" s="8"/>
      <x:c r="D164" s="9">
        <x:f>SUM(D160:D163)</x:f>
        <x:v>0</x:v>
      </x:c>
      <x:c r="E164" s="9">
        <x:f>SUM(E160:E163)</x:f>
        <x:v>0</x:v>
      </x:c>
      <x:c r="F164" s="10">
        <x:f>SUM(F160:F163)</x:f>
        <x:v>0</x:v>
      </x:c>
      <x:c r="G164" s="11"/>
      <x:c r="H164" s="7"/>
      <x:c r="I164" s="8"/>
      <x:c r="J164" s="8"/>
      <x:c r="K164" s="9">
        <x:f>SUM(K160:K163)</x:f>
        <x:v>22230000</x:v>
      </x:c>
      <x:c r="L164" s="9">
        <x:f>SUM(L160:L163)</x:f>
        <x:v>0</x:v>
      </x:c>
      <x:c r="M164" s="10">
        <x:f>SUM(M160:M163)</x:f>
        <x:v>22230000</x:v>
      </x:c>
      <x:c r="N164" s="11"/>
      <x:c r="V164" s="1"/>
    </x:row>
    <x:row r="165" spans="1:22" s="2" customFormat="1" ht="20.100000000000001" customHeight="1">
      <x:c r="A165" s="301" t="s">
        <x:v>187</x:v>
      </x:c>
      <x:c r="B165" s="3" t="s">
        <x:v>484</x:v>
      </x:c>
      <x:c r="C165" s="3" t="s">
        <x:v>1373</x:v>
      </x:c>
      <x:c r="D165" s="4"/>
      <x:c r="E165" s="4">
        <x:f>+D165*0.1</x:f>
        <x:v>0</x:v>
      </x:c>
      <x:c r="F165" s="5">
        <x:f>+D165+E165</x:f>
        <x:v>0</x:v>
      </x:c>
      <x:c r="G165" s="180" t="s">
        <x:v>258</x:v>
      </x:c>
      <x:c r="H165" s="301" t="s">
        <x:v>187</x:v>
      </x:c>
      <x:c r="I165" s="3" t="s">
        <x:v>857</x:v>
      </x:c>
      <x:c r="J165" s="3" t="s">
        <x:v>1006</x:v>
      </x:c>
      <x:c r="K165" s="4">
        <x:v>260000</x:v>
      </x:c>
      <x:c r="L165" s="4">
        <x:f>+K165*0.1</x:f>
        <x:v>26000</x:v>
      </x:c>
      <x:c r="M165" s="5">
        <x:f>+K165+L165</x:f>
        <x:v>286000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>+D166+E166</x:f>
        <x:v>0</x:v>
      </x:c>
      <x:c r="G166" s="180"/>
      <x:c r="H166" s="299"/>
      <x:c r="I166" s="3" t="s">
        <x:v>559</x:v>
      </x:c>
      <x:c r="J166" s="3" t="s">
        <x:v>948</x:v>
      </x:c>
      <x:c r="K166" s="4"/>
      <x:c r="L166" s="4">
        <x:f>+K166*0.1</x:f>
        <x:v>0</x:v>
      </x:c>
      <x:c r="M166" s="5">
        <x:f>+K166+L166</x:f>
        <x:v>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>+D167+E167</x:f>
        <x:v>0</x:v>
      </x:c>
      <x:c r="G167" s="180"/>
      <x:c r="H167" s="299"/>
      <x:c r="I167" s="3"/>
      <x:c r="J167" s="3"/>
      <x:c r="K167" s="4"/>
      <x:c r="L167" s="4">
        <x:f>+K167*0.1</x:f>
        <x:v>0</x:v>
      </x:c>
      <x:c r="M167" s="5">
        <x:f>+K167+L167</x:f>
        <x:v>0</x:v>
      </x:c>
      <x:c r="N167" s="6"/>
      <x:c r="V167" s="1"/>
    </x:row>
    <x:row r="168" spans="1:22" s="2" customFormat="1" ht="20.100000000000001" customHeight="1">
      <x:c r="A168" s="300"/>
      <x:c r="B168" s="3"/>
      <x:c r="C168" s="3"/>
      <x:c r="D168" s="4"/>
      <x:c r="E168" s="4"/>
      <x:c r="F168" s="5">
        <x:f>+D168+E168</x:f>
        <x:v>0</x:v>
      </x:c>
      <x:c r="G168" s="6"/>
      <x:c r="H168" s="300"/>
      <x:c r="I168" s="3"/>
      <x:c r="J168" s="3"/>
      <x:c r="K168" s="4"/>
      <x:c r="L168" s="4">
        <x:f>+K168*0.1</x:f>
        <x:v>0</x:v>
      </x:c>
      <x:c r="M168" s="5">
        <x:f>+K168+L168</x:f>
        <x:v>0</x:v>
      </x:c>
      <x:c r="N168" s="6"/>
      <x:c r="V168" s="1"/>
    </x:row>
    <x:row r="169" spans="1:22" s="2" customFormat="1" ht="20.100000000000001" customHeight="1">
      <x:c r="A169" s="7" t="s">
        <x:v>155</x:v>
      </x:c>
      <x:c r="B169" s="8"/>
      <x:c r="C169" s="8"/>
      <x:c r="D169" s="9">
        <x:f>SUM(D165:D168)</x:f>
        <x:v>0</x:v>
      </x:c>
      <x:c r="E169" s="9">
        <x:f>SUM(E165:E168)</x:f>
        <x:v>0</x:v>
      </x:c>
      <x:c r="F169" s="10">
        <x:f>SUM(F165:F168)</x:f>
        <x:v>0</x:v>
      </x:c>
      <x:c r="G169" s="11"/>
      <x:c r="H169" s="7"/>
      <x:c r="I169" s="8"/>
      <x:c r="J169" s="8"/>
      <x:c r="K169" s="9">
        <x:f>SUM(K165:K168)</x:f>
        <x:v>260000</x:v>
      </x:c>
      <x:c r="L169" s="9">
        <x:f>SUM(L165:L168)</x:f>
        <x:v>26000</x:v>
      </x:c>
      <x:c r="M169" s="10">
        <x:f>SUM(M165:M168)</x:f>
        <x:v>286000</x:v>
      </x:c>
      <x:c r="N169" s="11"/>
      <x:c r="V169" s="1"/>
    </x:row>
    <x:row r="170" spans="1:22" s="2" customFormat="1" ht="20.100000000000001" customHeight="1">
      <x:c r="A170" s="301" t="s">
        <x:v>149</x:v>
      </x:c>
      <x:c r="B170" s="3" t="s">
        <x:v>1404</x:v>
      </x:c>
      <x:c r="C170" s="3" t="s">
        <x:v>887</x:v>
      </x:c>
      <x:c r="D170" s="4"/>
      <x:c r="E170" s="4"/>
      <x:c r="F170" s="5">
        <x:f>+D170+E170</x:f>
        <x:v>0</x:v>
      </x:c>
      <x:c r="G170" s="6" t="s">
        <x:v>489</x:v>
      </x:c>
      <x:c r="H170" s="301" t="s">
        <x:v>149</x:v>
      </x:c>
      <x:c r="I170" s="3" t="s">
        <x:v>169</x:v>
      </x:c>
      <x:c r="J170" s="3" t="s">
        <x:v>149</x:v>
      </x:c>
      <x:c r="K170" s="4">
        <x:v>2136060</x:v>
      </x:c>
      <x:c r="L170" s="4">
        <x:v>7000</x:v>
      </x:c>
      <x:c r="M170" s="5">
        <x:f t="shared" ref="M170:M178" si="31">+K170+L170</x:f>
        <x:v>2143060</x:v>
      </x:c>
      <x:c r="N170" s="6" t="s">
        <x:v>1518</x:v>
      </x:c>
      <x:c r="V170" s="1"/>
    </x:row>
    <x:row r="171" spans="1:22" s="2" customFormat="1" ht="20.100000000000001" customHeight="1">
      <x:c r="A171" s="299"/>
      <x:c r="B171" s="3"/>
      <x:c r="C171" s="3"/>
      <x:c r="D171" s="4"/>
      <x:c r="E171" s="4"/>
      <x:c r="F171" s="5">
        <x:f>+D171+E171</x:f>
        <x:v>0</x:v>
      </x:c>
      <x:c r="G171" s="6"/>
      <x:c r="H171" s="299"/>
      <x:c r="I171" s="3" t="s">
        <x:v>1481</x:v>
      </x:c>
      <x:c r="J171" s="3" t="s">
        <x:v>1356</x:v>
      </x:c>
      <x:c r="K171" s="4">
        <x:v>936000</x:v>
      </x:c>
      <x:c r="L171" s="4">
        <x:f>+K171*0.1</x:f>
        <x:v>93600</x:v>
      </x:c>
      <x:c r="M171" s="5">
        <x:f t="shared" si="31"/>
        <x:v>1029600</x:v>
      </x:c>
      <x:c r="N171" s="6"/>
      <x:c r="V171" s="1"/>
    </x:row>
    <x:row r="172" spans="1:22" s="2" customFormat="1" ht="20.100000000000001" customHeight="1">
      <x:c r="A172" s="299"/>
      <x:c r="B172" s="3"/>
      <x:c r="C172" s="3"/>
      <x:c r="D172" s="4"/>
      <x:c r="E172" s="4"/>
      <x:c r="F172" s="5">
        <x:f>+D172+E172</x:f>
        <x:v>0</x:v>
      </x:c>
      <x:c r="G172" s="6"/>
      <x:c r="H172" s="299"/>
      <x:c r="I172" s="3" t="s">
        <x:v>261</x:v>
      </x:c>
      <x:c r="J172" s="3" t="s">
        <x:v>517</x:v>
      </x:c>
      <x:c r="K172" s="4">
        <x:v>500000</x:v>
      </x:c>
      <x:c r="L172" s="4"/>
      <x:c r="M172" s="5">
        <x:f t="shared" si="31"/>
        <x:v>500000</x:v>
      </x:c>
      <x:c r="N172" s="6"/>
      <x:c r="V172" s="1"/>
    </x:row>
    <x:row r="173" spans="1:22" s="2" customFormat="1" ht="20.100000000000001" customHeight="1">
      <x:c r="A173" s="299"/>
      <x:c r="B173" s="3"/>
      <x:c r="C173" s="3"/>
      <x:c r="D173" s="4"/>
      <x:c r="E173" s="4"/>
      <x:c r="F173" s="5">
        <x:f t="shared" ref="F173:F179" si="32">+D173+E173</x:f>
        <x:v>0</x:v>
      </x:c>
      <x:c r="G173" s="6"/>
      <x:c r="H173" s="299"/>
      <x:c r="I173" s="3" t="s">
        <x:v>527</x:v>
      </x:c>
      <x:c r="J173" s="3" t="s">
        <x:v>914</x:v>
      </x:c>
      <x:c r="K173" s="4">
        <x:f>130000+104000</x:f>
        <x:v>234000</x:v>
      </x:c>
      <x:c r="L173" s="4">
        <x:f>+K173*0.1</x:f>
        <x:v>23400</x:v>
      </x:c>
      <x:c r="M173" s="5">
        <x:f t="shared" si="31"/>
        <x:v>257400</x:v>
      </x:c>
      <x:c r="N173" s="6"/>
      <x:c r="V173" s="1"/>
    </x:row>
    <x:row r="174" spans="1:22" s="2" customFormat="1" ht="20.100000000000001" customHeight="1">
      <x:c r="A174" s="299"/>
      <x:c r="B174" s="3"/>
      <x:c r="C174" s="3"/>
      <x:c r="D174" s="4"/>
      <x:c r="E174" s="4"/>
      <x:c r="F174" s="5">
        <x:f t="shared" si="32"/>
        <x:v>0</x:v>
      </x:c>
      <x:c r="G174" s="6"/>
      <x:c r="H174" s="299"/>
      <x:c r="I174" s="3" t="s">
        <x:v>247</x:v>
      </x:c>
      <x:c r="J174" s="3" t="s">
        <x:v>231</x:v>
      </x:c>
      <x:c r="K174" s="4">
        <x:v>42000</x:v>
      </x:c>
      <x:c r="L174" s="4">
        <x:f>+K174*0.1</x:f>
        <x:v>4200</x:v>
      </x:c>
      <x:c r="M174" s="5">
        <x:f t="shared" si="31"/>
        <x:v>46200</x:v>
      </x:c>
      <x:c r="N174" s="6"/>
      <x:c r="V174" s="1"/>
    </x:row>
    <x:row r="175" spans="1:22" s="2" customFormat="1" ht="20.100000000000001" customHeight="1">
      <x:c r="A175" s="299"/>
      <x:c r="B175" s="3"/>
      <x:c r="C175" s="3"/>
      <x:c r="D175" s="4"/>
      <x:c r="E175" s="4"/>
      <x:c r="F175" s="5">
        <x:f t="shared" si="32"/>
        <x:v>0</x:v>
      </x:c>
      <x:c r="G175" s="6"/>
      <x:c r="H175" s="299"/>
      <x:c r="I175" s="3" t="s">
        <x:v>555</x:v>
      </x:c>
      <x:c r="J175" s="3" t="s">
        <x:v>167</x:v>
      </x:c>
      <x:c r="K175" s="4">
        <x:v>90000</x:v>
      </x:c>
      <x:c r="L175" s="4">
        <x:f t="shared" ref="L175:L179" si="33">+K175*0.1</x:f>
        <x:v>9000</x:v>
      </x:c>
      <x:c r="M175" s="5">
        <x:f t="shared" si="31"/>
        <x:v>99000</x:v>
      </x:c>
      <x:c r="N175" s="6"/>
      <x:c r="V175" s="1"/>
    </x:row>
    <x:row r="176" spans="1:22" s="2" customFormat="1" ht="20.100000000000001" customHeight="1">
      <x:c r="A176" s="299"/>
      <x:c r="B176" s="3"/>
      <x:c r="C176" s="3"/>
      <x:c r="D176" s="4"/>
      <x:c r="E176" s="4"/>
      <x:c r="F176" s="5">
        <x:f t="shared" si="32"/>
        <x:v>0</x:v>
      </x:c>
      <x:c r="G176" s="6"/>
      <x:c r="H176" s="299"/>
      <x:c r="I176" s="3" t="s">
        <x:v>1479</x:v>
      </x:c>
      <x:c r="J176" s="3" t="s">
        <x:v>520</x:v>
      </x:c>
      <x:c r="K176" s="4">
        <x:v>5000000</x:v>
      </x:c>
      <x:c r="L176" s="4">
        <x:f>+K176*0.1</x:f>
        <x:v>500000</x:v>
      </x:c>
      <x:c r="M176" s="5">
        <x:f>+K176+L176</x:f>
        <x:v>5500000</x:v>
      </x:c>
      <x:c r="N176" s="6"/>
      <x:c r="V176" s="1"/>
    </x:row>
    <x:row r="177" spans="1:22" s="2" customFormat="1" ht="20.100000000000001" customHeight="1">
      <x:c r="A177" s="299"/>
      <x:c r="B177" s="3"/>
      <x:c r="C177" s="3"/>
      <x:c r="D177" s="4"/>
      <x:c r="E177" s="4"/>
      <x:c r="F177" s="5">
        <x:f t="shared" si="32"/>
        <x:v>0</x:v>
      </x:c>
      <x:c r="G177" s="6"/>
      <x:c r="H177" s="299"/>
      <x:c r="I177" s="3" t="s">
        <x:v>1610</x:v>
      </x:c>
      <x:c r="J177" s="3" t="s">
        <x:v>300</x:v>
      </x:c>
      <x:c r="K177" s="4">
        <x:v>242964</x:v>
      </x:c>
      <x:c r="L177" s="4">
        <x:f t="shared" si="33"/>
        <x:v>24296.400000000001</x:v>
      </x:c>
      <x:c r="M177" s="5">
        <x:f t="shared" si="31"/>
        <x:v>267260.40000000002</x:v>
      </x:c>
      <x:c r="N177" s="6"/>
      <x:c r="V177" s="1"/>
    </x:row>
    <x:row r="178" spans="1:22" s="2" customFormat="1" ht="20.100000000000001" customHeight="1">
      <x:c r="A178" s="299"/>
      <x:c r="B178" s="3"/>
      <x:c r="C178" s="3"/>
      <x:c r="D178" s="4"/>
      <x:c r="E178" s="4"/>
      <x:c r="F178" s="5">
        <x:f t="shared" si="32"/>
        <x:v>0</x:v>
      </x:c>
      <x:c r="G178" s="6"/>
      <x:c r="H178" s="299"/>
      <x:c r="I178" s="3"/>
      <x:c r="J178" s="3"/>
      <x:c r="K178" s="4"/>
      <x:c r="L178" s="4"/>
      <x:c r="M178" s="5">
        <x:f t="shared" si="31"/>
        <x:v>0</x:v>
      </x:c>
      <x:c r="N178" s="6"/>
      <x:c r="V178" s="1"/>
    </x:row>
    <x:row r="179" spans="1:22" s="2" customFormat="1" ht="20.100000000000001" customHeight="1">
      <x:c r="A179" s="300"/>
      <x:c r="B179" s="3"/>
      <x:c r="C179" s="3"/>
      <x:c r="D179" s="4"/>
      <x:c r="E179" s="4"/>
      <x:c r="F179" s="5">
        <x:f t="shared" si="32"/>
        <x:v>0</x:v>
      </x:c>
      <x:c r="G179" s="6"/>
      <x:c r="H179" s="300"/>
      <x:c r="I179" s="3"/>
      <x:c r="J179" s="3"/>
      <x:c r="K179" s="4"/>
      <x:c r="L179" s="4">
        <x:f t="shared" si="33"/>
        <x:v>0</x:v>
      </x:c>
      <x:c r="M179" s="5">
        <x:f>+K179+L179</x:f>
        <x:v>0</x:v>
      </x:c>
      <x:c r="N179" s="6"/>
      <x:c r="V179" s="1"/>
    </x:row>
    <x:row r="180" spans="1:22" s="2" customFormat="1" ht="20.100000000000001" customHeight="1">
      <x:c r="A180" s="7" t="s">
        <x:v>155</x:v>
      </x:c>
      <x:c r="B180" s="8"/>
      <x:c r="C180" s="8"/>
      <x:c r="D180" s="9">
        <x:f>SUM(D170:D179)</x:f>
        <x:v>0</x:v>
      </x:c>
      <x:c r="E180" s="9">
        <x:f>SUM(E170:E179)</x:f>
        <x:v>0</x:v>
      </x:c>
      <x:c r="F180" s="10">
        <x:f>SUM(F170:F179)</x:f>
        <x:v>0</x:v>
      </x:c>
      <x:c r="G180" s="11"/>
      <x:c r="H180" s="7"/>
      <x:c r="I180" s="8"/>
      <x:c r="J180" s="8"/>
      <x:c r="K180" s="9">
        <x:f>SUM(K170:K179)</x:f>
        <x:v>9181024</x:v>
      </x:c>
      <x:c r="L180" s="9">
        <x:f>SUM(L170:L179)</x:f>
        <x:v>661496.40000000002</x:v>
      </x:c>
      <x:c r="M180" s="10">
        <x:f>SUM(M170:M179)</x:f>
        <x:v>9842520.4000000004</x:v>
      </x:c>
      <x:c r="N180" s="11"/>
      <x:c r="V180" s="1"/>
    </x:row>
    <x:row r="181" spans="1:22" s="2" customFormat="1" ht="20.100000000000001" customHeight="1">
      <x:c r="A181" s="12" t="s">
        <x:v>1690</x:v>
      </x:c>
      <x:c r="B181" s="13"/>
      <x:c r="C181" s="13"/>
      <x:c r="D181" s="14">
        <x:f>+D159+D164+D169+D180</x:f>
        <x:v>36918600</x:v>
      </x:c>
      <x:c r="E181" s="14">
        <x:f>+E159+E164+E169+E180</x:f>
        <x:v>3691860</x:v>
      </x:c>
      <x:c r="F181" s="15">
        <x:f>+F159+F164+F169+F180</x:f>
        <x:v>40610460</x:v>
      </x:c>
      <x:c r="G181" s="16"/>
      <x:c r="H181" s="12"/>
      <x:c r="I181" s="13"/>
      <x:c r="J181" s="13"/>
      <x:c r="K181" s="14">
        <x:f>+K159+K164+K169+K180</x:f>
        <x:v>35219724</x:v>
      </x:c>
      <x:c r="L181" s="14">
        <x:f>+L159+L164+L169+L180</x:f>
        <x:v>1042366.4</x:v>
      </x:c>
      <x:c r="M181" s="15">
        <x:f>+M159+M164+M169+M180</x:f>
        <x:v>36262090.399999999</x:v>
      </x:c>
      <x:c r="N181" s="16"/>
      <x:c r="V181" s="1"/>
    </x:row>
    <x:row r="182" spans="1:22" s="2" customFormat="1" ht="20.100000000000001" customHeight="1">
      <x:c r="A182" s="23" t="s">
        <x:v>35</x:v>
      </x:c>
      <x:c r="B182" s="24"/>
      <x:c r="C182" s="24"/>
      <x:c r="D182" s="25">
        <x:f>+D142-D181</x:f>
        <x:v>-36918600</x:v>
      </x:c>
      <x:c r="E182" s="25">
        <x:f>+E142-E181</x:f>
        <x:v>-3691860</x:v>
      </x:c>
      <x:c r="F182" s="26">
        <x:f>+F142-F181</x:f>
        <x:v>-40610460</x:v>
      </x:c>
      <x:c r="G182" s="27"/>
      <x:c r="H182" s="23"/>
      <x:c r="I182" s="24"/>
      <x:c r="J182" s="24"/>
      <x:c r="K182" s="25">
        <x:f>+K142-K181</x:f>
        <x:v>-35219724</x:v>
      </x:c>
      <x:c r="L182" s="25">
        <x:f>+L142-L181</x:f>
        <x:v>-1042366.4</x:v>
      </x:c>
      <x:c r="M182" s="26">
        <x:f>+M142-M181</x:f>
        <x:v>-36262090.399999999</x:v>
      </x:c>
      <x:c r="N182" s="27"/>
      <x:c r="V182" s="1"/>
    </x:row>
    <x:row r="183" spans="1:22" s="2" customFormat="1" ht="20.100000000000001" customHeight="1">
      <x:c r="A183" s="302" t="s">
        <x:v>438</x:v>
      </x:c>
      <x:c r="B183" s="303"/>
      <x:c r="C183" s="303"/>
      <x:c r="D183" s="303"/>
      <x:c r="E183" s="303"/>
      <x:c r="F183" s="304"/>
      <x:c r="G183" s="305"/>
      <x:c r="H183" s="302" t="s">
        <x:v>553</x:v>
      </x:c>
      <x:c r="I183" s="303"/>
      <x:c r="J183" s="303"/>
      <x:c r="K183" s="303"/>
      <x:c r="L183" s="303"/>
      <x:c r="M183" s="304"/>
      <x:c r="N183" s="305"/>
      <x:c r="V183" s="1"/>
    </x:row>
    <x:row r="184" spans="1:22" s="2" customFormat="1" ht="20.100000000000001" customHeight="1">
      <x:c r="A184" s="29" t="s">
        <x:v>147</x:v>
      </x:c>
      <x:c r="B184" s="224" t="s">
        <x:v>144</x:v>
      </x:c>
      <x:c r="C184" s="224" t="s">
        <x:v>150</x:v>
      </x:c>
      <x:c r="D184" s="31" t="s">
        <x:v>145</x:v>
      </x:c>
      <x:c r="E184" s="31" t="s">
        <x:v>152</x:v>
      </x:c>
      <x:c r="F184" s="32" t="s">
        <x:v>146</x:v>
      </x:c>
      <x:c r="G184" s="33" t="s">
        <x:v>154</x:v>
      </x:c>
      <x:c r="H184" s="29" t="s">
        <x:v>147</x:v>
      </x:c>
      <x:c r="I184" s="224" t="s">
        <x:v>144</x:v>
      </x:c>
      <x:c r="J184" s="224" t="s">
        <x:v>150</x:v>
      </x:c>
      <x:c r="K184" s="31" t="s">
        <x:v>145</x:v>
      </x:c>
      <x:c r="L184" s="31" t="s">
        <x:v>152</x:v>
      </x:c>
      <x:c r="M184" s="31" t="s">
        <x:v>146</x:v>
      </x:c>
      <x:c r="N184" s="34" t="s">
        <x:v>154</x:v>
      </x:c>
      <x:c r="V184" s="1"/>
    </x:row>
    <x:row r="185" spans="1:22" s="2" customFormat="1" ht="20.100000000000001" customHeight="1">
      <x:c r="A185" s="223" t="s">
        <x:v>151</x:v>
      </x:c>
      <x:c r="B185" s="38" t="s">
        <x:v>1679</x:v>
      </x:c>
      <x:c r="C185" s="38" t="s">
        <x:v>1030</x:v>
      </x:c>
      <x:c r="D185" s="39"/>
      <x:c r="E185" s="39"/>
      <x:c r="F185" s="40">
        <x:f t="shared" ref="F185:F194" si="34">+D185+E185</x:f>
        <x:v>0</x:v>
      </x:c>
      <x:c r="G185" s="18"/>
      <x:c r="H185" s="41" t="s">
        <x:v>151</x:v>
      </x:c>
      <x:c r="I185" s="38" t="s">
        <x:v>1679</x:v>
      </x:c>
      <x:c r="J185" s="38" t="s">
        <x:v>791</x:v>
      </x:c>
      <x:c r="K185" s="39"/>
      <x:c r="L185" s="39"/>
      <x:c r="M185" s="40">
        <x:f>+K185+L185</x:f>
        <x:v>0</x:v>
      </x:c>
      <x:c r="N185" s="42"/>
      <x:c r="V185" s="1"/>
    </x:row>
    <x:row r="186" spans="1:22" s="2" customFormat="1" ht="20.100000000000001" customHeight="1">
      <x:c r="A186" s="298" t="s">
        <x:v>148</x:v>
      </x:c>
      <x:c r="B186" s="19" t="s">
        <x:v>1498</x:v>
      </x:c>
      <x:c r="C186" s="19" t="s">
        <x:v>1501</x:v>
      </x:c>
      <x:c r="D186" s="20">
        <x:v>2448500</x:v>
      </x:c>
      <x:c r="E186" s="20">
        <x:f>+D186*0.1</x:f>
        <x:v>244850</x:v>
      </x:c>
      <x:c r="F186" s="21">
        <x:f t="shared" si="34"/>
        <x:v>2693350</x:v>
      </x:c>
      <x:c r="G186" s="95"/>
      <x:c r="H186" s="298" t="s">
        <x:v>148</x:v>
      </x:c>
      <x:c r="I186" s="19"/>
      <x:c r="J186" s="19"/>
      <x:c r="K186" s="20"/>
      <x:c r="L186" s="20">
        <x:f>+K186*0.1</x:f>
        <x:v>0</x:v>
      </x:c>
      <x:c r="M186" s="21">
        <x:f t="shared" ref="M186:M193" si="35">+K186+L186</x:f>
        <x:v>0</x:v>
      </x:c>
      <x:c r="N186" s="22"/>
      <x:c r="V186" s="1"/>
    </x:row>
    <x:row r="187" spans="1:22" s="2" customFormat="1" ht="20.100000000000001" customHeight="1">
      <x:c r="A187" s="299"/>
      <x:c r="B187" s="3" t="s">
        <x:v>1541</x:v>
      </x:c>
      <x:c r="C187" s="3" t="s">
        <x:v>1207</x:v>
      </x:c>
      <x:c r="D187" s="4">
        <x:f>608000+176000</x:f>
        <x:v>784000</x:v>
      </x:c>
      <x:c r="E187" s="4">
        <x:f>+D187*0.1</x:f>
        <x:v>78400</x:v>
      </x:c>
      <x:c r="F187" s="5">
        <x:f t="shared" si="34"/>
        <x:v>862400</x:v>
      </x:c>
      <x:c r="G187" s="180"/>
      <x:c r="H187" s="299"/>
      <x:c r="I187" s="3"/>
      <x:c r="J187" s="3"/>
      <x:c r="K187" s="4"/>
      <x:c r="L187" s="4"/>
      <x:c r="M187" s="5">
        <x:f t="shared" si="35"/>
        <x:v>0</x:v>
      </x:c>
      <x:c r="N187" s="6"/>
      <x:c r="V187" s="1"/>
    </x:row>
    <x:row r="188" spans="1:22" s="2" customFormat="1" ht="20.100000000000001" customHeight="1">
      <x:c r="A188" s="299"/>
      <x:c r="B188" s="3" t="s">
        <x:v>854</x:v>
      </x:c>
      <x:c r="C188" s="3" t="s">
        <x:v>765</x:v>
      </x:c>
      <x:c r="D188" s="4">
        <x:v>272690</x:v>
      </x:c>
      <x:c r="E188" s="4">
        <x:f>+D188*0.1</x:f>
        <x:v>27269</x:v>
      </x:c>
      <x:c r="F188" s="5">
        <x:f t="shared" si="34"/>
        <x:v>299959</x:v>
      </x:c>
      <x:c r="G188" s="180"/>
      <x:c r="H188" s="299"/>
      <x:c r="I188" s="3"/>
      <x:c r="J188" s="3"/>
      <x:c r="K188" s="4"/>
      <x:c r="L188" s="4">
        <x:f>+K188*0.1</x:f>
        <x:v>0</x:v>
      </x:c>
      <x:c r="M188" s="5">
        <x:f t="shared" si="35"/>
        <x:v>0</x:v>
      </x:c>
      <x:c r="N188" s="6"/>
      <x:c r="V188" s="1"/>
    </x:row>
    <x:row r="189" spans="1:22" s="2" customFormat="1" ht="20.100000000000001" customHeight="1">
      <x:c r="A189" s="299"/>
      <x:c r="B189" s="3" t="s">
        <x:v>867</x:v>
      </x:c>
      <x:c r="C189" s="3" t="s">
        <x:v>369</x:v>
      </x:c>
      <x:c r="D189" s="4">
        <x:v>632210</x:v>
      </x:c>
      <x:c r="E189" s="4">
        <x:f>+D189*0.1</x:f>
        <x:v>63221</x:v>
      </x:c>
      <x:c r="F189" s="5">
        <x:f t="shared" si="34"/>
        <x:v>695431</x:v>
      </x:c>
      <x:c r="G189" s="180"/>
      <x:c r="H189" s="299"/>
      <x:c r="I189" s="3"/>
      <x:c r="J189" s="3"/>
      <x:c r="K189" s="4"/>
      <x:c r="L189" s="4">
        <x:f>+K189*0.1</x:f>
        <x:v>0</x:v>
      </x:c>
      <x:c r="M189" s="5">
        <x:f t="shared" si="35"/>
        <x:v>0</x:v>
      </x:c>
      <x:c r="N189" s="6"/>
      <x:c r="V189" s="1"/>
    </x:row>
    <x:row r="190" spans="1:22" s="2" customFormat="1" ht="20.100000000000001" customHeight="1">
      <x:c r="A190" s="299"/>
      <x:c r="B190" s="3" t="s">
        <x:v>976</x:v>
      </x:c>
      <x:c r="C190" s="3" t="s">
        <x:v>549</x:v>
      </x:c>
      <x:c r="D190" s="4">
        <x:v>570000</x:v>
      </x:c>
      <x:c r="E190" s="4">
        <x:f>+D190*0.1</x:f>
        <x:v>57000</x:v>
      </x:c>
      <x:c r="F190" s="5">
        <x:f t="shared" si="34"/>
        <x:v>627000</x:v>
      </x:c>
      <x:c r="G190" s="180"/>
      <x:c r="H190" s="299"/>
      <x:c r="I190" s="3"/>
      <x:c r="J190" s="3"/>
      <x:c r="K190" s="4"/>
      <x:c r="L190" s="4">
        <x:f>+K190*0.1</x:f>
        <x:v>0</x:v>
      </x:c>
      <x:c r="M190" s="5">
        <x:f t="shared" si="35"/>
        <x:v>0</x:v>
      </x:c>
      <x:c r="N190" s="6"/>
      <x:c r="V190" s="1"/>
    </x:row>
    <x:row r="191" spans="1:22" s="2" customFormat="1" ht="20.100000000000001" customHeight="1">
      <x:c r="A191" s="299"/>
      <x:c r="B191" s="3" t="s">
        <x:v>938</x:v>
      </x:c>
      <x:c r="C191" s="3" t="s">
        <x:v>1094</x:v>
      </x:c>
      <x:c r="D191" s="4">
        <x:v>647500</x:v>
      </x:c>
      <x:c r="E191" s="4">
        <x:f t="shared" ref="E191:E194" si="36">+D191*0.1</x:f>
        <x:v>64750</x:v>
      </x:c>
      <x:c r="F191" s="5">
        <x:f t="shared" si="34"/>
        <x:v>712250</x:v>
      </x:c>
      <x:c r="G191" s="180"/>
      <x:c r="H191" s="299"/>
      <x:c r="I191" s="3"/>
      <x:c r="J191" s="3"/>
      <x:c r="K191" s="4"/>
      <x:c r="L191" s="4">
        <x:f t="shared" ref="L191:L193" si="37">+K191*0.1</x:f>
        <x:v>0</x:v>
      </x:c>
      <x:c r="M191" s="5">
        <x:f t="shared" si="35"/>
        <x:v>0</x:v>
      </x:c>
      <x:c r="N191" s="6"/>
      <x:c r="V191" s="1"/>
    </x:row>
    <x:row r="192" spans="1:22" s="2" customFormat="1" ht="20.100000000000001" customHeight="1">
      <x:c r="A192" s="299"/>
      <x:c r="B192" s="3" t="s">
        <x:v>838</x:v>
      </x:c>
      <x:c r="C192" s="3" t="s">
        <x:v>1189</x:v>
      </x:c>
      <x:c r="D192" s="4">
        <x:v>283680</x:v>
      </x:c>
      <x:c r="E192" s="4">
        <x:f t="shared" si="36"/>
        <x:v>28368</x:v>
      </x:c>
      <x:c r="F192" s="5">
        <x:f t="shared" si="34"/>
        <x:v>312048</x:v>
      </x:c>
      <x:c r="G192" s="6"/>
      <x:c r="H192" s="299"/>
      <x:c r="I192" s="3"/>
      <x:c r="J192" s="3"/>
      <x:c r="K192" s="4"/>
      <x:c r="L192" s="4">
        <x:f t="shared" si="37"/>
        <x:v>0</x:v>
      </x:c>
      <x:c r="M192" s="5">
        <x:f t="shared" si="35"/>
        <x:v>0</x:v>
      </x:c>
      <x:c r="N192" s="6"/>
      <x:c r="V192" s="1"/>
    </x:row>
    <x:row r="193" spans="1:22" s="2" customFormat="1" ht="20.100000000000001" customHeight="1">
      <x:c r="A193" s="299"/>
      <x:c r="B193" s="3" t="s">
        <x:v>1378</x:v>
      </x:c>
      <x:c r="C193" s="3" t="s">
        <x:v>1548</x:v>
      </x:c>
      <x:c r="D193" s="4">
        <x:v>2909316</x:v>
      </x:c>
      <x:c r="E193" s="4">
        <x:f t="shared" si="36"/>
        <x:v>290931.60000000003</x:v>
      </x:c>
      <x:c r="F193" s="5">
        <x:f t="shared" si="34"/>
        <x:v>3200247.6000000001</x:v>
      </x:c>
      <x:c r="G193" s="180"/>
      <x:c r="H193" s="299"/>
      <x:c r="I193" s="3"/>
      <x:c r="J193" s="3"/>
      <x:c r="K193" s="4"/>
      <x:c r="L193" s="4">
        <x:f t="shared" si="37"/>
        <x:v>0</x:v>
      </x:c>
      <x:c r="M193" s="5">
        <x:f t="shared" si="35"/>
        <x:v>0</x:v>
      </x:c>
      <x:c r="N193" s="6"/>
      <x:c r="V193" s="1"/>
    </x:row>
    <x:row r="194" spans="1:22" s="2" customFormat="1" ht="20.100000000000001" customHeight="1">
      <x:c r="A194" s="299"/>
      <x:c r="B194" s="3" t="s">
        <x:v>1033</x:v>
      </x:c>
      <x:c r="C194" s="3" t="s">
        <x:v>1117</x:v>
      </x:c>
      <x:c r="D194" s="4">
        <x:v>101000</x:v>
      </x:c>
      <x:c r="E194" s="4">
        <x:f t="shared" si="36"/>
        <x:v>10100</x:v>
      </x:c>
      <x:c r="F194" s="5">
        <x:f t="shared" si="34"/>
        <x:v>111100</x:v>
      </x:c>
      <x:c r="G194" s="180"/>
      <x:c r="H194" s="299"/>
      <x:c r="I194" s="3"/>
      <x:c r="J194" s="3"/>
      <x:c r="K194" s="4"/>
      <x:c r="L194" s="4">
        <x:f>+K194*0.1</x:f>
        <x:v>0</x:v>
      </x:c>
      <x:c r="M194" s="5">
        <x:f>+K194+L194</x:f>
        <x:v>0</x:v>
      </x:c>
      <x:c r="N194" s="6"/>
      <x:c r="V194" s="1"/>
    </x:row>
    <x:row r="195" spans="1:22" s="2" customFormat="1" ht="20.100000000000001" customHeight="1">
      <x:c r="A195" s="299"/>
      <x:c r="B195" s="3" t="s">
        <x:v>846</x:v>
      </x:c>
      <x:c r="C195" s="3" t="s">
        <x:v>1573</x:v>
      </x:c>
      <x:c r="D195" s="4">
        <x:v>1030000</x:v>
      </x:c>
      <x:c r="E195" s="4">
        <x:f t="shared" ref="E195:E201" si="38">+D195*0.1</x:f>
        <x:v>103000</x:v>
      </x:c>
      <x:c r="F195" s="5">
        <x:f t="shared" ref="F195:F201" si="39">+D195+E195</x:f>
        <x:v>1133000</x:v>
      </x:c>
      <x:c r="G195" s="180"/>
      <x:c r="H195" s="299"/>
      <x:c r="I195" s="3"/>
      <x:c r="J195" s="3"/>
      <x:c r="K195" s="4"/>
      <x:c r="L195" s="4">
        <x:f t="shared" ref="L195:L201" si="40">+K195*0.1</x:f>
        <x:v>0</x:v>
      </x:c>
      <x:c r="M195" s="5">
        <x:f t="shared" ref="M195:M201" si="41">+K195+L195</x:f>
        <x:v>0</x:v>
      </x:c>
      <x:c r="N195" s="6"/>
      <x:c r="V195" s="1"/>
    </x:row>
    <x:row r="196" spans="1:22" s="2" customFormat="1" ht="20.100000000000001" customHeight="1">
      <x:c r="A196" s="299"/>
      <x:c r="B196" s="3"/>
      <x:c r="C196" s="3"/>
      <x:c r="D196" s="4"/>
      <x:c r="E196" s="4">
        <x:f t="shared" si="38"/>
        <x:v>0</x:v>
      </x:c>
      <x:c r="F196" s="5">
        <x:f t="shared" si="39"/>
        <x:v>0</x:v>
      </x:c>
      <x:c r="G196" s="6"/>
      <x:c r="H196" s="299"/>
      <x:c r="I196" s="3"/>
      <x:c r="J196" s="3"/>
      <x:c r="K196" s="4"/>
      <x:c r="L196" s="4">
        <x:f t="shared" si="40"/>
        <x:v>0</x:v>
      </x:c>
      <x:c r="M196" s="5">
        <x:f t="shared" si="41"/>
        <x:v>0</x:v>
      </x:c>
      <x:c r="N196" s="6"/>
      <x:c r="V196" s="1"/>
    </x:row>
    <x:row r="197" spans="1:22" s="2" customFormat="1" ht="20.100000000000001" customHeight="1">
      <x:c r="A197" s="299"/>
      <x:c r="B197" s="3"/>
      <x:c r="C197" s="3"/>
      <x:c r="D197" s="4"/>
      <x:c r="E197" s="4">
        <x:f t="shared" si="38"/>
        <x:v>0</x:v>
      </x:c>
      <x:c r="F197" s="5">
        <x:f t="shared" si="39"/>
        <x:v>0</x:v>
      </x:c>
      <x:c r="G197" s="6"/>
      <x:c r="H197" s="299"/>
      <x:c r="I197" s="3"/>
      <x:c r="J197" s="3"/>
      <x:c r="K197" s="4"/>
      <x:c r="L197" s="4">
        <x:f t="shared" si="40"/>
        <x:v>0</x:v>
      </x:c>
      <x:c r="M197" s="5">
        <x:f t="shared" si="41"/>
        <x:v>0</x:v>
      </x:c>
      <x:c r="N197" s="6"/>
      <x:c r="V197" s="1"/>
    </x:row>
    <x:row r="198" spans="1:22" s="2" customFormat="1" ht="20.100000000000001" customHeight="1">
      <x:c r="A198" s="299"/>
      <x:c r="B198" s="3"/>
      <x:c r="C198" s="3"/>
      <x:c r="D198" s="4"/>
      <x:c r="E198" s="4">
        <x:f t="shared" si="38"/>
        <x:v>0</x:v>
      </x:c>
      <x:c r="F198" s="5">
        <x:f t="shared" si="39"/>
        <x:v>0</x:v>
      </x:c>
      <x:c r="G198" s="6"/>
      <x:c r="H198" s="299"/>
      <x:c r="I198" s="3"/>
      <x:c r="J198" s="3"/>
      <x:c r="K198" s="4"/>
      <x:c r="L198" s="4">
        <x:f t="shared" si="40"/>
        <x:v>0</x:v>
      </x:c>
      <x:c r="M198" s="5">
        <x:f t="shared" si="41"/>
        <x:v>0</x:v>
      </x:c>
      <x:c r="N198" s="6"/>
      <x:c r="V198" s="1"/>
    </x:row>
    <x:row r="199" spans="1:22" s="2" customFormat="1" ht="20.100000000000001" customHeight="1">
      <x:c r="A199" s="299"/>
      <x:c r="B199" s="3"/>
      <x:c r="C199" s="3"/>
      <x:c r="D199" s="4"/>
      <x:c r="E199" s="4">
        <x:f t="shared" si="38"/>
        <x:v>0</x:v>
      </x:c>
      <x:c r="F199" s="5">
        <x:f t="shared" si="39"/>
        <x:v>0</x:v>
      </x:c>
      <x:c r="G199" s="6"/>
      <x:c r="H199" s="299"/>
      <x:c r="I199" s="3"/>
      <x:c r="J199" s="3"/>
      <x:c r="K199" s="4"/>
      <x:c r="L199" s="4">
        <x:f t="shared" si="40"/>
        <x:v>0</x:v>
      </x:c>
      <x:c r="M199" s="5">
        <x:f t="shared" si="41"/>
        <x:v>0</x:v>
      </x:c>
      <x:c r="N199" s="6"/>
      <x:c r="V199" s="1"/>
    </x:row>
    <x:row r="200" spans="1:22" s="2" customFormat="1" ht="20.100000000000001" customHeight="1">
      <x:c r="A200" s="299"/>
      <x:c r="B200" s="3"/>
      <x:c r="C200" s="3"/>
      <x:c r="D200" s="4"/>
      <x:c r="E200" s="4">
        <x:f t="shared" si="38"/>
        <x:v>0</x:v>
      </x:c>
      <x:c r="F200" s="5">
        <x:f t="shared" si="39"/>
        <x:v>0</x:v>
      </x:c>
      <x:c r="G200" s="6"/>
      <x:c r="H200" s="299"/>
      <x:c r="I200" s="3"/>
      <x:c r="J200" s="3"/>
      <x:c r="K200" s="4"/>
      <x:c r="L200" s="4">
        <x:f t="shared" si="40"/>
        <x:v>0</x:v>
      </x:c>
      <x:c r="M200" s="5">
        <x:f t="shared" si="41"/>
        <x:v>0</x:v>
      </x:c>
      <x:c r="N200" s="6"/>
      <x:c r="V200" s="1"/>
    </x:row>
    <x:row r="201" spans="1:22" s="2" customFormat="1" ht="20.100000000000001" customHeight="1">
      <x:c r="A201" s="300"/>
      <x:c r="B201" s="3"/>
      <x:c r="C201" s="3"/>
      <x:c r="D201" s="4"/>
      <x:c r="E201" s="4">
        <x:f t="shared" si="38"/>
        <x:v>0</x:v>
      </x:c>
      <x:c r="F201" s="5">
        <x:f t="shared" si="39"/>
        <x:v>0</x:v>
      </x:c>
      <x:c r="G201" s="6"/>
      <x:c r="H201" s="300"/>
      <x:c r="I201" s="3"/>
      <x:c r="J201" s="3"/>
      <x:c r="K201" s="4"/>
      <x:c r="L201" s="4">
        <x:f t="shared" si="40"/>
        <x:v>0</x:v>
      </x:c>
      <x:c r="M201" s="5">
        <x:f t="shared" si="41"/>
        <x:v>0</x:v>
      </x:c>
      <x:c r="N201" s="6"/>
      <x:c r="V201" s="1"/>
    </x:row>
    <x:row r="202" spans="1:22" s="2" customFormat="1" ht="20.100000000000001" customHeight="1">
      <x:c r="A202" s="7" t="s">
        <x:v>155</x:v>
      </x:c>
      <x:c r="B202" s="8"/>
      <x:c r="C202" s="8"/>
      <x:c r="D202" s="9">
        <x:f>SUM(D186:D201)</x:f>
        <x:v>9678896</x:v>
      </x:c>
      <x:c r="E202" s="9">
        <x:f>SUM(E186:E201)</x:f>
        <x:v>967889.60000000009</x:v>
      </x:c>
      <x:c r="F202" s="10">
        <x:f>SUM(F186:F201)</x:f>
        <x:v>10646785.6</x:v>
      </x:c>
      <x:c r="G202" s="11"/>
      <x:c r="H202" s="7"/>
      <x:c r="I202" s="8"/>
      <x:c r="J202" s="8"/>
      <x:c r="K202" s="9">
        <x:f>SUM(K186:K201)</x:f>
        <x:v>0</x:v>
      </x:c>
      <x:c r="L202" s="9">
        <x:f>SUM(L186:L201)</x:f>
        <x:v>0</x:v>
      </x:c>
      <x:c r="M202" s="10">
        <x:f>SUM(M186:M201)</x:f>
        <x:v>0</x:v>
      </x:c>
      <x:c r="N202" s="11"/>
      <x:c r="V202" s="1"/>
    </x:row>
    <x:row r="203" spans="1:22" s="2" customFormat="1" ht="20.100000000000001" customHeight="1">
      <x:c r="A203" s="301" t="s">
        <x:v>153</x:v>
      </x:c>
      <x:c r="B203" s="3" t="s">
        <x:v>1677</x:v>
      </x:c>
      <x:c r="C203" s="3" t="s">
        <x:v>1494</x:v>
      </x:c>
      <x:c r="D203" s="4">
        <x:v>20115000</x:v>
      </x:c>
      <x:c r="E203" s="4"/>
      <x:c r="F203" s="5">
        <x:f>+D203+E203</x:f>
        <x:v>20115000</x:v>
      </x:c>
      <x:c r="G203" s="180" t="s">
        <x:v>1540</x:v>
      </x:c>
      <x:c r="H203" s="301" t="s">
        <x:v>153</x:v>
      </x:c>
      <x:c r="I203" s="3" t="s">
        <x:v>1677</x:v>
      </x:c>
      <x:c r="J203" s="3"/>
      <x:c r="K203" s="4"/>
      <x:c r="L203" s="4"/>
      <x:c r="M203" s="5">
        <x:f>+K203+L203</x:f>
        <x:v>0</x:v>
      </x:c>
      <x:c r="N203" s="6"/>
      <x:c r="V203" s="1"/>
    </x:row>
    <x:row r="204" spans="1:22" s="2" customFormat="1" ht="20.100000000000001" customHeight="1">
      <x:c r="A204" s="299"/>
      <x:c r="B204" s="3"/>
      <x:c r="C204" s="3"/>
      <x:c r="D204" s="4"/>
      <x:c r="E204" s="4">
        <x:f>+D204*0.1</x:f>
        <x:v>0</x:v>
      </x:c>
      <x:c r="F204" s="5">
        <x:f>+D204+E204</x:f>
        <x:v>0</x:v>
      </x:c>
      <x:c r="G204" s="37"/>
      <x:c r="H204" s="299"/>
      <x:c r="I204" s="3"/>
      <x:c r="J204" s="3"/>
      <x:c r="K204" s="4"/>
      <x:c r="L204" s="4">
        <x:f>+K204*0.1</x:f>
        <x:v>0</x:v>
      </x:c>
      <x:c r="M204" s="5">
        <x:f>+K204+L204</x:f>
        <x:v>0</x:v>
      </x:c>
      <x:c r="N204" s="6"/>
      <x:c r="V204" s="1"/>
    </x:row>
    <x:row r="205" spans="1:22" s="2" customFormat="1" ht="20.100000000000001" customHeight="1">
      <x:c r="A205" s="299"/>
      <x:c r="B205" s="3"/>
      <x:c r="C205" s="3"/>
      <x:c r="D205" s="4"/>
      <x:c r="E205" s="4">
        <x:f>+D205*0.1</x:f>
        <x:v>0</x:v>
      </x:c>
      <x:c r="F205" s="5">
        <x:f>+D205+E205</x:f>
        <x:v>0</x:v>
      </x:c>
      <x:c r="G205" s="6"/>
      <x:c r="H205" s="299"/>
      <x:c r="I205" s="3"/>
      <x:c r="J205" s="3"/>
      <x:c r="K205" s="4"/>
      <x:c r="L205" s="4">
        <x:f>+K205*0.1</x:f>
        <x:v>0</x:v>
      </x:c>
      <x:c r="M205" s="5">
        <x:f>+K205+L205</x:f>
        <x:v>0</x:v>
      </x:c>
      <x:c r="N205" s="6"/>
      <x:c r="V205" s="1"/>
    </x:row>
    <x:row r="206" spans="1:22" s="2" customFormat="1" ht="20.100000000000001" customHeight="1">
      <x:c r="A206" s="300"/>
      <x:c r="B206" s="3"/>
      <x:c r="C206" s="3"/>
      <x:c r="D206" s="4"/>
      <x:c r="E206" s="4">
        <x:f>+D206*0.1</x:f>
        <x:v>0</x:v>
      </x:c>
      <x:c r="F206" s="5">
        <x:f>+D206+E206</x:f>
        <x:v>0</x:v>
      </x:c>
      <x:c r="G206" s="6"/>
      <x:c r="H206" s="300"/>
      <x:c r="I206" s="3"/>
      <x:c r="J206" s="3"/>
      <x:c r="K206" s="4"/>
      <x:c r="L206" s="4">
        <x:f>+K206*0.1</x:f>
        <x:v>0</x:v>
      </x:c>
      <x:c r="M206" s="5">
        <x:f>+K206+L206</x:f>
        <x:v>0</x:v>
      </x:c>
      <x:c r="N206" s="6"/>
      <x:c r="V206" s="1"/>
    </x:row>
    <x:row r="207" spans="1:22" s="2" customFormat="1" ht="20.100000000000001" customHeight="1">
      <x:c r="A207" s="7" t="s">
        <x:v>155</x:v>
      </x:c>
      <x:c r="B207" s="8"/>
      <x:c r="C207" s="8"/>
      <x:c r="D207" s="9">
        <x:f>SUM(D203:D206)</x:f>
        <x:v>20115000</x:v>
      </x:c>
      <x:c r="E207" s="9">
        <x:f>SUM(E203:E206)</x:f>
        <x:v>0</x:v>
      </x:c>
      <x:c r="F207" s="10">
        <x:f>SUM(F203:F206)</x:f>
        <x:v>20115000</x:v>
      </x:c>
      <x:c r="G207" s="11"/>
      <x:c r="H207" s="7"/>
      <x:c r="I207" s="8"/>
      <x:c r="J207" s="8"/>
      <x:c r="K207" s="9">
        <x:f>SUM(K203:K206)</x:f>
        <x:v>0</x:v>
      </x:c>
      <x:c r="L207" s="9">
        <x:f>SUM(L203:L206)</x:f>
        <x:v>0</x:v>
      </x:c>
      <x:c r="M207" s="10">
        <x:f>SUM(M203:M206)</x:f>
        <x:v>0</x:v>
      </x:c>
      <x:c r="N207" s="11"/>
      <x:c r="V207" s="1"/>
    </x:row>
    <x:row r="208" spans="1:22" s="2" customFormat="1" ht="20.100000000000001" customHeight="1">
      <x:c r="A208" s="301" t="s">
        <x:v>187</x:v>
      </x:c>
      <x:c r="B208" s="3" t="s">
        <x:v>1124</x:v>
      </x:c>
      <x:c r="C208" s="3" t="s">
        <x:v>1006</x:v>
      </x:c>
      <x:c r="D208" s="4">
        <x:v>850000</x:v>
      </x:c>
      <x:c r="E208" s="4">
        <x:f>+D208*0.1</x:f>
        <x:v>85000</x:v>
      </x:c>
      <x:c r="F208" s="5">
        <x:f>+D208+E208</x:f>
        <x:v>935000</x:v>
      </x:c>
      <x:c r="G208" s="180"/>
      <x:c r="H208" s="301" t="s">
        <x:v>187</x:v>
      </x:c>
      <x:c r="I208" s="3"/>
      <x:c r="J208" s="3"/>
      <x:c r="K208" s="4"/>
      <x:c r="L208" s="4">
        <x:f>+K208*0.1</x:f>
        <x:v>0</x:v>
      </x:c>
      <x:c r="M208" s="5">
        <x:f>+K208+L208</x:f>
        <x:v>0</x:v>
      </x:c>
      <x:c r="N208" s="6"/>
      <x:c r="V208" s="1"/>
    </x:row>
    <x:row r="209" spans="1:22" s="2" customFormat="1" ht="20.100000000000001" customHeight="1">
      <x:c r="A209" s="299"/>
      <x:c r="B209" s="3"/>
      <x:c r="C209" s="3"/>
      <x:c r="D209" s="4"/>
      <x:c r="E209" s="4">
        <x:f>+D209*0.1</x:f>
        <x:v>0</x:v>
      </x:c>
      <x:c r="F209" s="5">
        <x:f>+D209+E209</x:f>
        <x:v>0</x:v>
      </x:c>
      <x:c r="G209" s="180"/>
      <x:c r="H209" s="299"/>
      <x:c r="I209" s="3"/>
      <x:c r="J209" s="3"/>
      <x:c r="K209" s="4"/>
      <x:c r="L209" s="4">
        <x:f>+K209*0.1</x:f>
        <x:v>0</x:v>
      </x:c>
      <x:c r="M209" s="5">
        <x:f>+K209+L209</x:f>
        <x:v>0</x:v>
      </x:c>
      <x:c r="N209" s="6"/>
      <x:c r="V209" s="1"/>
    </x:row>
    <x:row r="210" spans="1:22" s="2" customFormat="1" ht="20.100000000000001" customHeight="1">
      <x:c r="A210" s="299"/>
      <x:c r="B210" s="3"/>
      <x:c r="C210" s="3"/>
      <x:c r="D210" s="4"/>
      <x:c r="E210" s="4">
        <x:f>+D210*0.1</x:f>
        <x:v>0</x:v>
      </x:c>
      <x:c r="F210" s="5">
        <x:f>+D210+E210</x:f>
        <x:v>0</x:v>
      </x:c>
      <x:c r="G210" s="180"/>
      <x:c r="H210" s="299"/>
      <x:c r="I210" s="3"/>
      <x:c r="J210" s="3"/>
      <x:c r="K210" s="4"/>
      <x:c r="L210" s="4">
        <x:f>+K210*0.1</x:f>
        <x:v>0</x:v>
      </x:c>
      <x:c r="M210" s="5">
        <x:f>+K210+L210</x:f>
        <x:v>0</x:v>
      </x:c>
      <x:c r="N210" s="6"/>
      <x:c r="V210" s="1"/>
    </x:row>
    <x:row r="211" spans="1:22" s="2" customFormat="1" ht="20.100000000000001" customHeight="1">
      <x:c r="A211" s="300"/>
      <x:c r="B211" s="3"/>
      <x:c r="C211" s="3"/>
      <x:c r="D211" s="4"/>
      <x:c r="E211" s="4">
        <x:f>+D211*0.1</x:f>
        <x:v>0</x:v>
      </x:c>
      <x:c r="F211" s="5">
        <x:f>+D211+E211</x:f>
        <x:v>0</x:v>
      </x:c>
      <x:c r="G211" s="6"/>
      <x:c r="H211" s="300"/>
      <x:c r="I211" s="3"/>
      <x:c r="J211" s="3"/>
      <x:c r="K211" s="4"/>
      <x:c r="L211" s="4">
        <x:f>+K211*0.1</x:f>
        <x:v>0</x:v>
      </x:c>
      <x:c r="M211" s="5">
        <x:f>+K211+L211</x:f>
        <x:v>0</x:v>
      </x:c>
      <x:c r="N211" s="6"/>
      <x:c r="V211" s="1"/>
    </x:row>
    <x:row r="212" spans="1:22" s="2" customFormat="1" ht="20.100000000000001" customHeight="1">
      <x:c r="A212" s="7" t="s">
        <x:v>155</x:v>
      </x:c>
      <x:c r="B212" s="8"/>
      <x:c r="C212" s="8"/>
      <x:c r="D212" s="9">
        <x:f>SUM(D208:D211)</x:f>
        <x:v>850000</x:v>
      </x:c>
      <x:c r="E212" s="9">
        <x:f>SUM(E208:E211)</x:f>
        <x:v>85000</x:v>
      </x:c>
      <x:c r="F212" s="10">
        <x:f>SUM(F208:F211)</x:f>
        <x:v>935000</x:v>
      </x:c>
      <x:c r="G212" s="11"/>
      <x:c r="H212" s="7"/>
      <x:c r="I212" s="8"/>
      <x:c r="J212" s="8"/>
      <x:c r="K212" s="9">
        <x:f>SUM(K208:K211)</x:f>
        <x:v>0</x:v>
      </x:c>
      <x:c r="L212" s="9">
        <x:f>SUM(L208:L211)</x:f>
        <x:v>0</x:v>
      </x:c>
      <x:c r="M212" s="10">
        <x:f>SUM(M208:M211)</x:f>
        <x:v>0</x:v>
      </x:c>
      <x:c r="N212" s="11"/>
      <x:c r="V212" s="1"/>
    </x:row>
    <x:row r="213" spans="1:22" s="2" customFormat="1" ht="20.100000000000001" customHeight="1">
      <x:c r="A213" s="301" t="s">
        <x:v>149</x:v>
      </x:c>
      <x:c r="B213" s="3" t="s">
        <x:v>309</x:v>
      </x:c>
      <x:c r="C213" s="3" t="s">
        <x:v>149</x:v>
      </x:c>
      <x:c r="D213" s="4">
        <x:v>1328190</x:v>
      </x:c>
      <x:c r="E213" s="4"/>
      <x:c r="F213" s="5">
        <x:f t="shared" ref="F213:F220" si="42">+D213+E213</x:f>
        <x:v>1328190</x:v>
      </x:c>
      <x:c r="G213" s="229" t="s">
        <x:v>558</x:v>
      </x:c>
      <x:c r="H213" s="301" t="s">
        <x:v>149</x:v>
      </x:c>
      <x:c r="I213" s="3"/>
      <x:c r="J213" s="3" t="s">
        <x:v>149</x:v>
      </x:c>
      <x:c r="K213" s="4"/>
      <x:c r="L213" s="4"/>
      <x:c r="M213" s="5">
        <x:f t="shared" ref="M213:M220" si="43">+K213+L213</x:f>
        <x:v>0</x:v>
      </x:c>
      <x:c r="N213" s="6"/>
      <x:c r="V213" s="1"/>
    </x:row>
    <x:row r="214" spans="1:22" s="2" customFormat="1" ht="20.100000000000001" customHeight="1">
      <x:c r="A214" s="299"/>
      <x:c r="B214" s="3" t="s">
        <x:v>315</x:v>
      </x:c>
      <x:c r="C214" s="3" t="s">
        <x:v>149</x:v>
      </x:c>
      <x:c r="D214" s="4">
        <x:v>40050</x:v>
      </x:c>
      <x:c r="E214" s="4">
        <x:f>+D214*0.1</x:f>
        <x:v>4005</x:v>
      </x:c>
      <x:c r="F214" s="5">
        <x:f t="shared" si="42"/>
        <x:v>44055</x:v>
      </x:c>
      <x:c r="G214" s="6"/>
      <x:c r="H214" s="299"/>
      <x:c r="I214" s="3" t="s">
        <x:v>1341</x:v>
      </x:c>
      <x:c r="J214" s="3" t="s">
        <x:v>1496</x:v>
      </x:c>
      <x:c r="K214" s="4">
        <x:v>30000</x:v>
      </x:c>
      <x:c r="L214" s="4">
        <x:f>+K214*0.1</x:f>
        <x:v>3000</x:v>
      </x:c>
      <x:c r="M214" s="5">
        <x:f t="shared" si="43"/>
        <x:v>33000</x:v>
      </x:c>
      <x:c r="N214" s="6"/>
      <x:c r="V214" s="1"/>
    </x:row>
    <x:row r="215" spans="1:22" s="2" customFormat="1" ht="20.100000000000001" customHeight="1">
      <x:c r="A215" s="299"/>
      <x:c r="B215" s="3"/>
      <x:c r="C215" s="3"/>
      <x:c r="D215" s="4"/>
      <x:c r="E215" s="4"/>
      <x:c r="F215" s="5">
        <x:f t="shared" si="42"/>
        <x:v>0</x:v>
      </x:c>
      <x:c r="G215" s="6"/>
      <x:c r="H215" s="299"/>
      <x:c r="I215" s="3"/>
      <x:c r="J215" s="3"/>
      <x:c r="K215" s="4"/>
      <x:c r="L215" s="4"/>
      <x:c r="M215" s="5">
        <x:f t="shared" si="43"/>
        <x:v>0</x:v>
      </x:c>
      <x:c r="N215" s="6"/>
      <x:c r="V215" s="1"/>
    </x:row>
    <x:row r="216" spans="1:22" s="2" customFormat="1" ht="20.100000000000001" customHeight="1">
      <x:c r="A216" s="299"/>
      <x:c r="B216" s="3"/>
      <x:c r="C216" s="3"/>
      <x:c r="D216" s="4"/>
      <x:c r="E216" s="4">
        <x:f>+D216*0.1</x:f>
        <x:v>0</x:v>
      </x:c>
      <x:c r="F216" s="5">
        <x:f t="shared" si="42"/>
        <x:v>0</x:v>
      </x:c>
      <x:c r="G216" s="6"/>
      <x:c r="H216" s="299"/>
      <x:c r="I216" s="3"/>
      <x:c r="J216" s="3"/>
      <x:c r="K216" s="4"/>
      <x:c r="L216" s="4">
        <x:f>+K216*0.1</x:f>
        <x:v>0</x:v>
      </x:c>
      <x:c r="M216" s="5">
        <x:f t="shared" si="43"/>
        <x:v>0</x:v>
      </x:c>
      <x:c r="N216" s="6"/>
      <x:c r="V216" s="1"/>
    </x:row>
    <x:row r="217" spans="1:22" s="2" customFormat="1" ht="20.100000000000001" customHeight="1">
      <x:c r="A217" s="299"/>
      <x:c r="B217" s="3"/>
      <x:c r="C217" s="3"/>
      <x:c r="D217" s="4"/>
      <x:c r="E217" s="4">
        <x:f>+D217*0.1</x:f>
        <x:v>0</x:v>
      </x:c>
      <x:c r="F217" s="5">
        <x:f t="shared" si="42"/>
        <x:v>0</x:v>
      </x:c>
      <x:c r="G217" s="6"/>
      <x:c r="H217" s="299"/>
      <x:c r="I217" s="3"/>
      <x:c r="J217" s="3"/>
      <x:c r="K217" s="4"/>
      <x:c r="L217" s="4">
        <x:f>+K217*0.1</x:f>
        <x:v>0</x:v>
      </x:c>
      <x:c r="M217" s="5">
        <x:f t="shared" si="43"/>
        <x:v>0</x:v>
      </x:c>
      <x:c r="N217" s="6"/>
      <x:c r="V217" s="1"/>
    </x:row>
    <x:row r="218" spans="1:22" s="2" customFormat="1" ht="20.100000000000001" customHeight="1">
      <x:c r="A218" s="299"/>
      <x:c r="B218" s="3"/>
      <x:c r="C218" s="3"/>
      <x:c r="D218" s="4"/>
      <x:c r="E218" s="4">
        <x:f>+D218*0.1</x:f>
        <x:v>0</x:v>
      </x:c>
      <x:c r="F218" s="5">
        <x:f t="shared" si="42"/>
        <x:v>0</x:v>
      </x:c>
      <x:c r="G218" s="6"/>
      <x:c r="H218" s="299"/>
      <x:c r="I218" s="3"/>
      <x:c r="J218" s="3"/>
      <x:c r="K218" s="4"/>
      <x:c r="L218" s="4">
        <x:f>+K218*0.1</x:f>
        <x:v>0</x:v>
      </x:c>
      <x:c r="M218" s="5">
        <x:f t="shared" si="43"/>
        <x:v>0</x:v>
      </x:c>
      <x:c r="N218" s="6"/>
      <x:c r="V218" s="1"/>
    </x:row>
    <x:row r="219" spans="1:22" s="2" customFormat="1" ht="20.100000000000001" customHeight="1">
      <x:c r="A219" s="299"/>
      <x:c r="B219" s="3"/>
      <x:c r="C219" s="3"/>
      <x:c r="D219" s="4"/>
      <x:c r="E219" s="4">
        <x:f t="shared" ref="E219:E222" si="44">+D219*0.1</x:f>
        <x:v>0</x:v>
      </x:c>
      <x:c r="F219" s="5">
        <x:f t="shared" si="42"/>
        <x:v>0</x:v>
      </x:c>
      <x:c r="G219" s="6"/>
      <x:c r="H219" s="299"/>
      <x:c r="I219" s="3"/>
      <x:c r="J219" s="3"/>
      <x:c r="K219" s="4"/>
      <x:c r="L219" s="4">
        <x:f t="shared" ref="L219:L222" si="45">+K219*0.1</x:f>
        <x:v>0</x:v>
      </x:c>
      <x:c r="M219" s="5">
        <x:f t="shared" si="43"/>
        <x:v>0</x:v>
      </x:c>
      <x:c r="N219" s="6"/>
      <x:c r="V219" s="1"/>
    </x:row>
    <x:row r="220" spans="1:22" s="2" customFormat="1" ht="20.100000000000001" customHeight="1">
      <x:c r="A220" s="299"/>
      <x:c r="B220" s="3"/>
      <x:c r="C220" s="3"/>
      <x:c r="D220" s="4"/>
      <x:c r="E220" s="4">
        <x:f t="shared" si="44"/>
        <x:v>0</x:v>
      </x:c>
      <x:c r="F220" s="5">
        <x:f t="shared" si="42"/>
        <x:v>0</x:v>
      </x:c>
      <x:c r="G220" s="6"/>
      <x:c r="H220" s="299"/>
      <x:c r="I220" s="3"/>
      <x:c r="J220" s="3"/>
      <x:c r="K220" s="4"/>
      <x:c r="L220" s="4">
        <x:f t="shared" si="45"/>
        <x:v>0</x:v>
      </x:c>
      <x:c r="M220" s="5">
        <x:f t="shared" si="43"/>
        <x:v>0</x:v>
      </x:c>
      <x:c r="N220" s="6"/>
      <x:c r="V220" s="1"/>
    </x:row>
    <x:row r="221" spans="1:22" s="2" customFormat="1" ht="20.100000000000001" customHeight="1">
      <x:c r="A221" s="299"/>
      <x:c r="B221" s="3"/>
      <x:c r="C221" s="3"/>
      <x:c r="D221" s="4"/>
      <x:c r="E221" s="4">
        <x:f t="shared" si="44"/>
        <x:v>0</x:v>
      </x:c>
      <x:c r="F221" s="5"/>
      <x:c r="G221" s="6"/>
      <x:c r="H221" s="299"/>
      <x:c r="I221" s="3"/>
      <x:c r="J221" s="3"/>
      <x:c r="K221" s="4"/>
      <x:c r="L221" s="4">
        <x:f t="shared" si="45"/>
        <x:v>0</x:v>
      </x:c>
      <x:c r="M221" s="5"/>
      <x:c r="N221" s="6"/>
      <x:c r="V221" s="1"/>
    </x:row>
    <x:row r="222" spans="1:22" s="2" customFormat="1" ht="20.100000000000001" customHeight="1">
      <x:c r="A222" s="300"/>
      <x:c r="B222" s="3"/>
      <x:c r="C222" s="3"/>
      <x:c r="D222" s="4"/>
      <x:c r="E222" s="4">
        <x:f t="shared" si="44"/>
        <x:v>0</x:v>
      </x:c>
      <x:c r="F222" s="5">
        <x:f>+D222+E222</x:f>
        <x:v>0</x:v>
      </x:c>
      <x:c r="G222" s="6"/>
      <x:c r="H222" s="300"/>
      <x:c r="I222" s="3"/>
      <x:c r="J222" s="3"/>
      <x:c r="K222" s="4"/>
      <x:c r="L222" s="4">
        <x:f t="shared" si="45"/>
        <x:v>0</x:v>
      </x:c>
      <x:c r="M222" s="5">
        <x:f>+K222+L222</x:f>
        <x:v>0</x:v>
      </x:c>
      <x:c r="N222" s="6"/>
      <x:c r="V222" s="1"/>
    </x:row>
    <x:row r="223" spans="1:22" s="2" customFormat="1" ht="20.100000000000001" customHeight="1">
      <x:c r="A223" s="7" t="s">
        <x:v>155</x:v>
      </x:c>
      <x:c r="B223" s="8"/>
      <x:c r="C223" s="8"/>
      <x:c r="D223" s="9">
        <x:f>SUM(D213:D222)</x:f>
        <x:v>1368240</x:v>
      </x:c>
      <x:c r="E223" s="9">
        <x:f>SUM(E213:E222)</x:f>
        <x:v>4005</x:v>
      </x:c>
      <x:c r="F223" s="10">
        <x:f>SUM(F213:F222)</x:f>
        <x:v>1372245</x:v>
      </x:c>
      <x:c r="G223" s="11"/>
      <x:c r="H223" s="7"/>
      <x:c r="I223" s="8"/>
      <x:c r="J223" s="8"/>
      <x:c r="K223" s="9">
        <x:f>SUM(K213:K222)</x:f>
        <x:v>30000</x:v>
      </x:c>
      <x:c r="L223" s="9">
        <x:f>SUM(L213:L222)</x:f>
        <x:v>3000</x:v>
      </x:c>
      <x:c r="M223" s="10">
        <x:f>SUM(M213:M222)</x:f>
        <x:v>33000</x:v>
      </x:c>
      <x:c r="N223" s="11"/>
      <x:c r="V223" s="1"/>
    </x:row>
    <x:row r="224" spans="1:22" s="2" customFormat="1" ht="20.100000000000001" customHeight="1">
      <x:c r="A224" s="12" t="s">
        <x:v>1690</x:v>
      </x:c>
      <x:c r="B224" s="13"/>
      <x:c r="C224" s="13"/>
      <x:c r="D224" s="14">
        <x:f>+D202+D207+D212+D223</x:f>
        <x:v>32012136</x:v>
      </x:c>
      <x:c r="E224" s="14">
        <x:f>+E202+E207+E212+E223</x:f>
        <x:v>1056894.6000000001</x:v>
      </x:c>
      <x:c r="F224" s="15">
        <x:f>+F202+F207+F212+F223</x:f>
        <x:v>33069030.600000001</x:v>
      </x:c>
      <x:c r="G224" s="16"/>
      <x:c r="H224" s="12"/>
      <x:c r="I224" s="13"/>
      <x:c r="J224" s="13"/>
      <x:c r="K224" s="14">
        <x:f>+K202+K207+K212+K223</x:f>
        <x:v>30000</x:v>
      </x:c>
      <x:c r="L224" s="14">
        <x:f>+L202+L207+L212+L223</x:f>
        <x:v>3000</x:v>
      </x:c>
      <x:c r="M224" s="15">
        <x:f>+M202+M207+M212+M223</x:f>
        <x:v>33000</x:v>
      </x:c>
      <x:c r="N224" s="16"/>
      <x:c r="V224" s="1"/>
    </x:row>
    <x:row r="225" spans="1:22" s="2" customFormat="1" ht="20.100000000000001" customHeight="1">
      <x:c r="A225" s="23" t="s">
        <x:v>35</x:v>
      </x:c>
      <x:c r="B225" s="24"/>
      <x:c r="C225" s="24"/>
      <x:c r="D225" s="25">
        <x:f>+D185-D224</x:f>
        <x:v>-32012136</x:v>
      </x:c>
      <x:c r="E225" s="25">
        <x:f>+E185-E224</x:f>
        <x:v>-1056894.6000000001</x:v>
      </x:c>
      <x:c r="F225" s="26">
        <x:f>+F185-F224</x:f>
        <x:v>-33069030.600000001</x:v>
      </x:c>
      <x:c r="G225" s="27"/>
      <x:c r="H225" s="23"/>
      <x:c r="I225" s="24"/>
      <x:c r="J225" s="24"/>
      <x:c r="K225" s="25">
        <x:f>+K185-K224</x:f>
        <x:v>-30000</x:v>
      </x:c>
      <x:c r="L225" s="25">
        <x:f>+L185-L224</x:f>
        <x:v>-3000</x:v>
      </x:c>
      <x:c r="M225" s="26">
        <x:f>+M185-M224</x:f>
        <x:v>-33000</x:v>
      </x:c>
      <x:c r="N225" s="27"/>
      <x:c r="V225" s="1"/>
    </x:row>
  </x:sheetData>
  <x:mergeCells count="52">
    <x:mergeCell ref="A208:A211"/>
    <x:mergeCell ref="H208:H211"/>
    <x:mergeCell ref="A213:A222"/>
    <x:mergeCell ref="H213:H222"/>
    <x:mergeCell ref="A183:G183"/>
    <x:mergeCell ref="H183:N183"/>
    <x:mergeCell ref="A186:A201"/>
    <x:mergeCell ref="H186:H201"/>
    <x:mergeCell ref="A203:A206"/>
    <x:mergeCell ref="H203:H206"/>
    <x:mergeCell ref="A160:A163"/>
    <x:mergeCell ref="H160:H163"/>
    <x:mergeCell ref="A165:A168"/>
    <x:mergeCell ref="H165:H168"/>
    <x:mergeCell ref="A170:A179"/>
    <x:mergeCell ref="H170:H179"/>
    <x:mergeCell ref="A129:A136"/>
    <x:mergeCell ref="H129:H136"/>
    <x:mergeCell ref="A140:G140"/>
    <x:mergeCell ref="H140:N140"/>
    <x:mergeCell ref="A143:A158"/>
    <x:mergeCell ref="H143:H158"/>
    <x:mergeCell ref="A98:A117"/>
    <x:mergeCell ref="H98:H117"/>
    <x:mergeCell ref="A119:A122"/>
    <x:mergeCell ref="H119:H122"/>
    <x:mergeCell ref="A124:A127"/>
    <x:mergeCell ref="H124:H127"/>
    <x:mergeCell ref="A70:A77"/>
    <x:mergeCell ref="H70:H77"/>
    <x:mergeCell ref="A79:A91"/>
    <x:mergeCell ref="H79:H91"/>
    <x:mergeCell ref="A95:G95"/>
    <x:mergeCell ref="H95:N95"/>
    <x:mergeCell ref="A45:G45"/>
    <x:mergeCell ref="H45:N45"/>
    <x:mergeCell ref="A48:A63"/>
    <x:mergeCell ref="H48:H63"/>
    <x:mergeCell ref="A65:A68"/>
    <x:mergeCell ref="H65:H68"/>
    <x:mergeCell ref="A19:A24"/>
    <x:mergeCell ref="H19:H24"/>
    <x:mergeCell ref="A26:A29"/>
    <x:mergeCell ref="H26:H29"/>
    <x:mergeCell ref="A31:A41"/>
    <x:mergeCell ref="H31:H41"/>
    <x:mergeCell ref="A1:N1"/>
    <x:mergeCell ref="O1:S1"/>
    <x:mergeCell ref="A2:G2"/>
    <x:mergeCell ref="H2:N2"/>
    <x:mergeCell ref="A5:A17"/>
    <x:mergeCell ref="H5:H17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4" manualBreakCount="4">
    <x:brk id="44" min="0" max="1048575" man="1" pt="0"/>
    <x:brk id="94" min="0" max="1048575" man="1" pt="0"/>
    <x:brk id="139" min="0" max="1048575" man="1" pt="0"/>
    <x:brk id="182" min="0" max="1048575" man="1" pt="0"/>
  </x:rowBreaks>
</x:worksheet>
</file>

<file path=xl/worksheets/sheet6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7"/>
  <x:dimension ref="A1:S117"/>
  <x:sheetViews>
    <x:sheetView view="pageBreakPreview" topLeftCell="A1" zoomScaleNormal="100" zoomScaleSheetLayoutView="100" workbookViewId="0">
      <x:selection activeCell="K15" activeCellId="0" sqref="K15:K15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30"/>
      <x:c r="C2" s="230"/>
      <x:c r="D2" s="230"/>
      <x:c r="E2" s="230"/>
      <x:c r="F2" s="230"/>
      <x:c r="G2" s="230"/>
      <x:c r="H2" s="230"/>
      <x:c r="I2" s="230"/>
      <x:c r="J2" s="230"/>
      <x:c r="K2" s="230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32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'21년11월(세부내역)'!D4</x:f>
        <x:v>277280000</x:v>
      </x:c>
      <x:c r="F5" s="67">
        <x:f>'21년11월(세부내역)'!D19</x:f>
        <x:v>19389010</x:v>
      </x:c>
      <x:c r="G5" s="67">
        <x:f>'21년11월(세부내역)'!D26</x:f>
        <x:v>116280000</x:v>
      </x:c>
      <x:c r="H5" s="67">
        <x:f>'21년11월(세부내역)'!D31</x:f>
        <x:v>960000</x:v>
      </x:c>
      <x:c r="I5" s="67">
        <x:f>'21년11월(세부내역)'!D43</x:f>
        <x:v>3481044</x:v>
      </x:c>
      <x:c r="J5" s="75">
        <x:f t="shared" ref="J5:J12" si="0">+SUM(F5:I5)</x:f>
        <x:v>140110054</x:v>
      </x:c>
      <x:c r="K5" s="141">
        <x:f t="shared" ref="K5:K14" si="1">E5-J5</x:f>
        <x:v>137169946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553</x:v>
      </x:c>
      <x:c r="C6" s="63" t="s">
        <x:v>791</x:v>
      </x:c>
      <x:c r="D6" s="115" t="s">
        <x:v>551</x:v>
      </x:c>
      <x:c r="E6" s="74">
        <x:f>'21년11월(세부내역)'!K4</x:f>
        <x:v>0</x:v>
      </x:c>
      <x:c r="F6" s="59">
        <x:f>+'21년11월(세부내역)'!K19</x:f>
        <x:v>357800</x:v>
      </x:c>
      <x:c r="G6" s="59">
        <x:f>'21년11월(세부내역)'!K26</x:f>
        <x:v>0</x:v>
      </x:c>
      <x:c r="H6" s="59">
        <x:f>'21년11월(세부내역)'!K31</x:f>
        <x:v>0</x:v>
      </x:c>
      <x:c r="I6" s="59">
        <x:f>'21년11월(세부내역)'!K43</x:f>
        <x:v>0</x:v>
      </x:c>
      <x:c r="J6" s="75">
        <x:f t="shared" si="0"/>
        <x:v>357800</x:v>
      </x:c>
      <x:c r="K6" s="140">
        <x:f t="shared" si="1"/>
        <x:v>-357800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'21년11월(세부내역)'!K48</x:f>
        <x:v>138800000</x:v>
      </x:c>
      <x:c r="F7" s="59">
        <x:f>'21년11월(세부내역)'!K66</x:f>
        <x:v>52019900</x:v>
      </x:c>
      <x:c r="G7" s="59">
        <x:f>'21년11월(세부내역)'!K71</x:f>
        <x:v>57690000</x:v>
      </x:c>
      <x:c r="H7" s="59">
        <x:f>'21년11월(세부내역)'!K78</x:f>
        <x:v>1856000</x:v>
      </x:c>
      <x:c r="I7" s="59">
        <x:f>'21년11월(세부내역)'!K92</x:f>
        <x:v>5886830</x:v>
      </x:c>
      <x:c r="J7" s="75">
        <x:f t="shared" si="0"/>
        <x:v>117452730</x:v>
      </x:c>
      <x:c r="K7" s="141">
        <x:f t="shared" si="1"/>
        <x:v>21347270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135</x:v>
      </x:c>
      <x:c r="E8" s="74">
        <x:f>'21년11월(세부내역)'!D97</x:f>
        <x:v>0</x:v>
      </x:c>
      <x:c r="F8" s="59">
        <x:f>'21년11월(세부내역)'!D119</x:f>
        <x:v>19868260</x:v>
      </x:c>
      <x:c r="G8" s="59">
        <x:f>'21년11월(세부내역)'!D124</x:f>
        <x:v>11696000</x:v>
      </x:c>
      <x:c r="H8" s="59">
        <x:f>'21년11월(세부내역)'!D128</x:f>
        <x:v>810000</x:v>
      </x:c>
      <x:c r="I8" s="59">
        <x:f>'21년11월(세부내역)'!D137</x:f>
        <x:v>1049870</x:v>
      </x:c>
      <x:c r="J8" s="75">
        <x:f t="shared" si="0"/>
        <x:v>33424130</x:v>
      </x:c>
      <x:c r="K8" s="141">
        <x:f t="shared" si="1"/>
        <x:v>-33424130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'21년11월(세부내역)'!K97</x:f>
        <x:v>179790540</x:v>
      </x:c>
      <x:c r="F9" s="59">
        <x:f>'21년11월(세부내역)'!K119</x:f>
        <x:v>45424824</x:v>
      </x:c>
      <x:c r="G9" s="59">
        <x:f>'21년11월(세부내역)'!K124</x:f>
        <x:v>32320000</x:v>
      </x:c>
      <x:c r="H9" s="59">
        <x:f>'21년11월(세부내역)'!K128</x:f>
        <x:v>0</x:v>
      </x:c>
      <x:c r="I9" s="59">
        <x:f>'21년11월(세부내역)'!K137</x:f>
        <x:v>2632514</x:v>
      </x:c>
      <x:c r="J9" s="75">
        <x:f t="shared" si="0"/>
        <x:v>80377338</x:v>
      </x:c>
      <x:c r="K9" s="141">
        <x:f t="shared" si="1"/>
        <x:v>99413202</x:v>
      </x:c>
      <x:c r="L9" s="204" t="s">
        <x:v>531</x:v>
      </x:c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125</x:v>
      </x:c>
      <x:c r="E10" s="74">
        <x:f>'21년11월(세부내역)'!D142</x:f>
        <x:v>45060000</x:v>
      </x:c>
      <x:c r="F10" s="59">
        <x:f>'21년11월(세부내역)'!D159</x:f>
        <x:v>26878000</x:v>
      </x:c>
      <x:c r="G10" s="59">
        <x:f>'21년11월(세부내역)'!D164</x:f>
        <x:v>13450000</x:v>
      </x:c>
      <x:c r="H10" s="59">
        <x:f>'21년11월(세부내역)'!D169</x:f>
        <x:v>0</x:v>
      </x:c>
      <x:c r="I10" s="59">
        <x:f>'21년11월(세부내역)'!D180</x:f>
        <x:v>0</x:v>
      </x:c>
      <x:c r="J10" s="75">
        <x:f t="shared" si="0"/>
        <x:v>40328000</x:v>
      </x:c>
      <x:c r="K10" s="141">
        <x:f t="shared" si="1"/>
        <x:v>4732000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'21년11월(세부내역)'!D48</x:f>
        <x:v>485800000</x:v>
      </x:c>
      <x:c r="F11" s="59">
        <x:f>+'21년11월(세부내역)'!D66</x:f>
        <x:v>42656838</x:v>
      </x:c>
      <x:c r="G11" s="59">
        <x:f>'21년11월(세부내역)'!D71</x:f>
        <x:v>104688400</x:v>
      </x:c>
      <x:c r="H11" s="59">
        <x:f>'21년11월(세부내역)'!D78</x:f>
        <x:v>4790000</x:v>
      </x:c>
      <x:c r="I11" s="59">
        <x:f>'21년11월(세부내역)'!D92</x:f>
        <x:v>2699000</x:v>
      </x:c>
      <x:c r="J11" s="75">
        <x:f t="shared" si="0"/>
        <x:v>154834238</x:v>
      </x:c>
      <x:c r="K11" s="141">
        <x:f>E11-J11</x:f>
        <x:v>330965762</x:v>
      </x:c>
      <x:c r="L11" s="205" t="s">
        <x:v>552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'21년11월(세부내역)'!K142</x:f>
        <x:v>0</x:v>
      </x:c>
      <x:c r="F12" s="59">
        <x:f>'21년11월(세부내역)'!K159</x:f>
        <x:v>24448531</x:v>
      </x:c>
      <x:c r="G12" s="59">
        <x:f>+'21년11월(세부내역)'!K164</x:f>
        <x:v>20190000</x:v>
      </x:c>
      <x:c r="H12" s="59">
        <x:f>+'21년11월(세부내역)'!K169</x:f>
        <x:v>480000</x:v>
      </x:c>
      <x:c r="I12" s="59">
        <x:f>+'21년11월(세부내역)'!K180</x:f>
        <x:v>9570098</x:v>
      </x:c>
      <x:c r="J12" s="75">
        <x:f t="shared" si="0"/>
        <x:v>54688629</x:v>
      </x:c>
      <x:c r="K12" s="141">
        <x:f t="shared" si="1"/>
        <x:v>-54688629</x:v>
      </x:c>
      <x:c r="L12" s="204"/>
    </x:row>
    <x:row r="13" spans="1:12" ht="30" customHeight="1">
      <x:c r="A13" s="63">
        <x:v>9</x:v>
      </x:c>
      <x:c r="B13" s="63" t="s">
        <x:v>438</x:v>
      </x:c>
      <x:c r="C13" s="63" t="s">
        <x:v>1065</x:v>
      </x:c>
      <x:c r="D13" s="115" t="s">
        <x:v>536</x:v>
      </x:c>
      <x:c r="E13" s="74">
        <x:f>'21년11월(세부내역)'!D185</x:f>
        <x:v>48700000</x:v>
      </x:c>
      <x:c r="F13" s="59">
        <x:f>'21년11월(세부내역)'!D202</x:f>
        <x:v>7960930</x:v>
      </x:c>
      <x:c r="G13" s="59">
        <x:f>'21년11월(세부내역)'!D207</x:f>
        <x:v>5640000</x:v>
      </x:c>
      <x:c r="H13" s="59">
        <x:f>'21년11월(세부내역)'!D212</x:f>
        <x:v>0</x:v>
      </x:c>
      <x:c r="I13" s="59">
        <x:f>'21년11월(세부내역)'!D223</x:f>
        <x:v>489410</x:v>
      </x:c>
      <x:c r="J13" s="75">
        <x:f>+SUM(F13:I13)</x:f>
        <x:v>14090340</x:v>
      </x:c>
      <x:c r="K13" s="141">
        <x:f t="shared" si="1"/>
        <x:v>34609660</x:v>
      </x:c>
      <x:c r="L13" s="204"/>
    </x:row>
    <x:row r="14" spans="1:12" ht="30" customHeight="1">
      <x:c r="A14" s="63">
        <x:v>10</x:v>
      </x:c>
      <x:c r="B14" s="63" t="s">
        <x:v>560</x:v>
      </x:c>
      <x:c r="C14" s="63" t="s">
        <x:v>156</x:v>
      </x:c>
      <x:c r="D14" s="115" t="s">
        <x:v>564</x:v>
      </x:c>
      <x:c r="E14" s="74">
        <x:f>'21년11월(세부내역)'!K185</x:f>
        <x:v>0</x:v>
      </x:c>
      <x:c r="F14" s="59">
        <x:f>'21년11월(세부내역)'!K202</x:f>
        <x:v>0</x:v>
      </x:c>
      <x:c r="G14" s="59">
        <x:f>'21년11월(세부내역)'!K207</x:f>
        <x:v>0</x:v>
      </x:c>
      <x:c r="H14" s="59">
        <x:f>'21년11월(세부내역)'!K212</x:f>
        <x:v>0</x:v>
      </x:c>
      <x:c r="I14" s="59">
        <x:f>'21년11월(세부내역)'!K223</x:f>
        <x:v>0</x:v>
      </x:c>
      <x:c r="J14" s="75">
        <x:f>+SUM(F14:I14)</x:f>
        <x:v>0</x:v>
      </x:c>
      <x:c r="K14" s="141">
        <x:f t="shared" si="1"/>
        <x:v>0</x:v>
      </x:c>
      <x:c r="L14" s="204"/>
    </x:row>
    <x:row r="15" spans="1:12" ht="30" customHeight="1">
      <x:c r="A15" s="64"/>
      <x:c r="B15" s="64" t="s">
        <x:v>1690</x:v>
      </x:c>
      <x:c r="C15" s="64"/>
      <x:c r="D15" s="64"/>
      <x:c r="E15" s="68">
        <x:f>SUM(E5:E14)</x:f>
        <x:v>1175430540</x:v>
      </x:c>
      <x:c r="F15" s="66">
        <x:f t="shared" ref="F15:K15" si="2">SUM(F5:F14)</x:f>
        <x:v>239004093</x:v>
      </x:c>
      <x:c r="G15" s="66">
        <x:f t="shared" si="2"/>
        <x:v>361954400</x:v>
      </x:c>
      <x:c r="H15" s="66">
        <x:f t="shared" si="2"/>
        <x:v>8896000</x:v>
      </x:c>
      <x:c r="I15" s="66">
        <x:f t="shared" si="2"/>
        <x:v>25808766</x:v>
      </x:c>
      <x:c r="J15" s="69">
        <x:f t="shared" si="2"/>
        <x:v>635663259</x:v>
      </x:c>
      <x:c r="K15" s="142">
        <x:f t="shared" si="2"/>
        <x:v>539767281</x:v>
      </x:c>
      <x:c r="L15" s="66"/>
    </x:row>
    <x:row r="27" spans="1:19" s="2" customFormat="1">
      <x:c r="A27" s="1"/>
      <x:c r="B27" s="1"/>
      <x:c r="C27" s="1"/>
      <x:c r="D27" s="1"/>
      <x:c r="E27" s="1"/>
      <x:c r="J27" s="1"/>
      <x:c r="K27" s="1"/>
      <x:c r="M27" s="1"/>
      <x:c r="N27" s="1"/>
      <x:c r="O27" s="1"/>
      <x:c r="P27" s="1"/>
      <x:c r="Q27" s="1"/>
      <x:c r="R27" s="1"/>
      <x:c r="S27" s="1"/>
    </x:row>
    <x:row r="117" spans="4:4">
      <x:c r="D117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6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8"/>
  <x:dimension ref="A1:V225"/>
  <x:sheetViews>
    <x:sheetView view="pageBreakPreview" topLeftCell="A64" zoomScaleNormal="100" zoomScaleSheetLayoutView="100" workbookViewId="0">
      <x:selection activeCell="D84" activeCellId="0" sqref="D84:D8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1816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553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32" t="s">
        <x:v>144</x:v>
      </x:c>
      <x:c r="C3" s="232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32" t="s">
        <x:v>144</x:v>
      </x:c>
      <x:c r="J3" s="232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277280000</x:v>
      </x:c>
      <x:c r="E4" s="39">
        <x:v>8720000</x:v>
      </x:c>
      <x:c r="F4" s="40">
        <x:f>+D4+E4</x:f>
        <x:v>286000000</x:v>
      </x:c>
      <x:c r="G4" s="42"/>
      <x:c r="H4" s="231" t="s">
        <x:v>151</x:v>
      </x:c>
      <x:c r="I4" s="38" t="s">
        <x:v>1679</x:v>
      </x:c>
      <x:c r="J4" s="38" t="s">
        <x:v>791</x:v>
      </x:c>
      <x:c r="K4" s="39"/>
      <x:c r="L4" s="39"/>
      <x:c r="M4" s="40">
        <x:f>+K4+L4</x:f>
        <x:v>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374</x:v>
      </x:c>
      <x:c r="D5" s="212"/>
      <x:c r="E5" s="212"/>
      <x:c r="F5" s="213">
        <x:f>+D5+E5</x:f>
        <x:v>0</x:v>
      </x:c>
      <x:c r="G5" s="169" t="s">
        <x:v>1611</x:v>
      </x:c>
      <x:c r="H5" s="298" t="s">
        <x:v>148</x:v>
      </x:c>
      <x:c r="I5" s="19" t="s">
        <x:v>867</x:v>
      </x:c>
      <x:c r="J5" s="19" t="s">
        <x:v>369</x:v>
      </x:c>
      <x:c r="K5" s="20">
        <x:v>357800</x:v>
      </x:c>
      <x:c r="L5" s="20">
        <x:f t="shared" ref="L5:L18" si="0">+INT(K5*0.1)</x:f>
        <x:v>35780</x:v>
      </x:c>
      <x:c r="M5" s="21">
        <x:f t="shared" ref="M5:M25" si="1">+K5+L5</x:f>
        <x:v>393580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615</x:v>
      </x:c>
      <x:c r="D6" s="163"/>
      <x:c r="E6" s="44">
        <x:f>+D6*0.1</x:f>
        <x:v>0</x:v>
      </x:c>
      <x:c r="F6" s="164">
        <x:f>+D6+E6</x:f>
        <x:v>0</x:v>
      </x:c>
      <x:c r="G6" s="233" t="s">
        <x:v>1611</x:v>
      </x:c>
      <x:c r="H6" s="299"/>
      <x:c r="I6" s="3"/>
      <x:c r="J6" s="3"/>
      <x:c r="K6" s="4"/>
      <x:c r="L6" s="4">
        <x:f t="shared" si="0"/>
        <x:v>0</x:v>
      </x:c>
      <x:c r="M6" s="5">
        <x:f t="shared" si="1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401</x:v>
      </x:c>
      <x:c r="D7" s="163">
        <x:v>1986000</x:v>
      </x:c>
      <x:c r="E7" s="4">
        <x:f>+D7*0.1</x:f>
        <x:v>198600</x:v>
      </x:c>
      <x:c r="F7" s="5">
        <x:f>+D7+E7</x:f>
        <x:v>2184600</x:v>
      </x:c>
      <x:c r="G7" s="180"/>
      <x:c r="H7" s="299"/>
      <x:c r="I7" s="3"/>
      <x:c r="J7" s="3"/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3" t="s">
        <x:v>907</x:v>
      </x:c>
      <x:c r="C8" s="162"/>
      <x:c r="D8" s="163"/>
      <x:c r="E8" s="4"/>
      <x:c r="F8" s="45">
        <x:f t="shared" ref="F8:F16" si="2">+D8+E8</x:f>
        <x:v>0</x:v>
      </x:c>
      <x:c r="G8" s="179"/>
      <x:c r="H8" s="299"/>
      <x:c r="I8" s="3"/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 t="s">
        <x:v>1119</x:v>
      </x:c>
      <x:c r="C9" s="162" t="s">
        <x:v>718</x:v>
      </x:c>
      <x:c r="D9" s="163">
        <x:v>1470000</x:v>
      </x:c>
      <x:c r="E9" s="4">
        <x:f>+D9*0.1</x:f>
        <x:v>147000</x:v>
      </x:c>
      <x:c r="F9" s="45">
        <x:f t="shared" si="2"/>
        <x:v>1617000</x:v>
      </x:c>
      <x:c r="G9" s="37"/>
      <x:c r="H9" s="299"/>
      <x:c r="I9" s="3"/>
      <x:c r="J9" s="3"/>
      <x:c r="K9" s="4"/>
      <x:c r="L9" s="4">
        <x:f>+INT(K9*0.1)</x:f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3" t="s">
        <x:v>846</x:v>
      </x:c>
      <x:c r="C10" s="3" t="s">
        <x:v>1178</x:v>
      </x:c>
      <x:c r="D10" s="163">
        <x:v>1329100</x:v>
      </x:c>
      <x:c r="E10" s="4">
        <x:f>+D10*0.1</x:f>
        <x:v>132910</x:v>
      </x:c>
      <x:c r="F10" s="5">
        <x:f t="shared" si="2"/>
        <x:v>1462010</x:v>
      </x:c>
      <x:c r="G10" s="37"/>
      <x:c r="H10" s="299"/>
      <x:c r="I10" s="3"/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439</x:v>
      </x:c>
      <x:c r="D11" s="163">
        <x:v>1040170</x:v>
      </x:c>
      <x:c r="E11" s="4">
        <x:f>+D11*0.1</x:f>
        <x:v>104017</x:v>
      </x:c>
      <x:c r="F11" s="5">
        <x:f t="shared" si="2"/>
        <x:v>1144187</x:v>
      </x:c>
      <x:c r="G11" s="6"/>
      <x:c r="H11" s="299"/>
      <x:c r="I11" s="3"/>
      <x:c r="J11" s="3"/>
      <x:c r="K11" s="4"/>
      <x:c r="L11" s="4">
        <x:f t="shared" si="0"/>
        <x:v>0</x:v>
      </x:c>
      <x:c r="M11" s="5">
        <x:f t="shared" si="1"/>
        <x:v>0</x:v>
      </x:c>
      <x:c r="N11" s="217"/>
    </x:row>
    <x:row r="12" spans="1:14" ht="20.100000000000001" customHeight="1">
      <x:c r="A12" s="299"/>
      <x:c r="B12" s="178" t="s">
        <x:v>1058</x:v>
      </x:c>
      <x:c r="C12" s="178" t="s">
        <x:v>437</x:v>
      </x:c>
      <x:c r="D12" s="163">
        <x:v>630800</x:v>
      </x:c>
      <x:c r="E12" s="4">
        <x:f>+D12*0.1</x:f>
        <x:v>63080</x:v>
      </x:c>
      <x:c r="F12" s="5">
        <x:f t="shared" si="2"/>
        <x:v>693880</x:v>
      </x:c>
      <x:c r="G12" s="6"/>
      <x:c r="H12" s="299"/>
      <x:c r="I12" s="3"/>
      <x:c r="J12" s="3"/>
      <x:c r="K12" s="4"/>
      <x:c r="L12" s="4"/>
      <x:c r="M12" s="5"/>
      <x:c r="N12" s="217"/>
    </x:row>
    <x:row r="13" spans="1:14" ht="20.100000000000001" customHeight="1">
      <x:c r="A13" s="299"/>
      <x:c r="B13" s="162" t="s">
        <x:v>1449</x:v>
      </x:c>
      <x:c r="C13" s="162"/>
      <x:c r="D13" s="163"/>
      <x:c r="E13" s="4"/>
      <x:c r="F13" s="45">
        <x:f t="shared" si="2"/>
        <x:v>0</x:v>
      </x:c>
      <x:c r="G13" s="37"/>
      <x:c r="H13" s="299"/>
      <x:c r="I13" s="3"/>
      <x:c r="J13" s="3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3" t="s">
        <x:v>938</x:v>
      </x:c>
      <x:c r="C14" s="3" t="s">
        <x:v>1094</x:v>
      </x:c>
      <x:c r="D14" s="163">
        <x:v>2545000</x:v>
      </x:c>
      <x:c r="E14" s="4">
        <x:f>+D14*0.1</x:f>
        <x:v>254500</x:v>
      </x:c>
      <x:c r="F14" s="45">
        <x:f t="shared" si="2"/>
        <x:v>2799500</x:v>
      </x:c>
      <x:c r="G14" s="37"/>
      <x:c r="H14" s="299"/>
      <x:c r="I14" s="3"/>
      <x:c r="J14" s="3"/>
      <x:c r="K14" s="4"/>
      <x:c r="L14" s="4">
        <x:f t="shared" si="0"/>
        <x:v>0</x:v>
      </x:c>
      <x:c r="M14" s="5">
        <x:f t="shared" si="1"/>
        <x:v>0</x:v>
      </x:c>
      <x:c r="N14" s="6"/>
    </x:row>
    <x:row r="15" spans="1:14" ht="20.100000000000001" customHeight="1">
      <x:c r="A15" s="299"/>
      <x:c r="B15" s="162" t="s">
        <x:v>1378</x:v>
      </x:c>
      <x:c r="C15" s="162" t="s">
        <x:v>1222</x:v>
      </x:c>
      <x:c r="D15" s="163">
        <x:v>2187000</x:v>
      </x:c>
      <x:c r="E15" s="4">
        <x:f>+D15*0.1</x:f>
        <x:v>218700</x:v>
      </x:c>
      <x:c r="F15" s="45">
        <x:f t="shared" si="2"/>
        <x:v>2405700</x:v>
      </x:c>
      <x:c r="G15" s="6"/>
      <x:c r="H15" s="299"/>
      <x:c r="I15" s="3"/>
      <x:c r="J15" s="3"/>
      <x:c r="K15" s="4"/>
      <x:c r="L15" s="4">
        <x:f t="shared" si="0"/>
        <x:v>0</x:v>
      </x:c>
      <x:c r="M15" s="5">
        <x:f t="shared" si="1"/>
        <x:v>0</x:v>
      </x:c>
      <x:c r="N15" s="6"/>
    </x:row>
    <x:row r="16" spans="1:14" ht="20.100000000000001" customHeight="1">
      <x:c r="A16" s="299"/>
      <x:c r="B16" s="3" t="s">
        <x:v>976</x:v>
      </x:c>
      <x:c r="C16" s="3" t="s">
        <x:v>528</x:v>
      </x:c>
      <x:c r="D16" s="163">
        <x:v>900000</x:v>
      </x:c>
      <x:c r="E16" s="4">
        <x:f>+D16*0.1</x:f>
        <x:v>90000</x:v>
      </x:c>
      <x:c r="F16" s="45">
        <x:f t="shared" si="2"/>
        <x:v>990000</x:v>
      </x:c>
      <x:c r="G16" s="37"/>
      <x:c r="H16" s="299"/>
      <x:c r="I16" s="3"/>
      <x:c r="J16" s="3"/>
      <x:c r="K16" s="4"/>
      <x:c r="L16" s="4">
        <x:f t="shared" si="0"/>
        <x:v>0</x:v>
      </x:c>
      <x:c r="M16" s="5">
        <x:f t="shared" si="1"/>
        <x:v>0</x:v>
      </x:c>
      <x:c r="N16" s="6"/>
    </x:row>
    <x:row r="17" spans="1:14" ht="20.100000000000001" customHeight="1">
      <x:c r="A17" s="299"/>
      <x:c r="B17" s="162" t="s">
        <x:v>1564</x:v>
      </x:c>
      <x:c r="C17" s="162" t="s">
        <x:v>1552</x:v>
      </x:c>
      <x:c r="D17" s="163">
        <x:v>6538430</x:v>
      </x:c>
      <x:c r="E17" s="163">
        <x:f>+D17*0.1</x:f>
        <x:v>653843</x:v>
      </x:c>
      <x:c r="F17" s="164">
        <x:f>+D17+E17</x:f>
        <x:v>7192273</x:v>
      </x:c>
      <x:c r="G17" s="180"/>
      <x:c r="H17" s="299"/>
      <x:c r="I17" s="3"/>
      <x:c r="J17" s="3"/>
      <x:c r="K17" s="4"/>
      <x:c r="L17" s="4">
        <x:f t="shared" si="0"/>
        <x:v>0</x:v>
      </x:c>
      <x:c r="M17" s="5">
        <x:f t="shared" si="1"/>
        <x:v>0</x:v>
      </x:c>
      <x:c r="N17" s="6"/>
    </x:row>
    <x:row r="18" spans="1:14" ht="20.100000000000001" customHeight="1">
      <x:c r="A18" s="300"/>
      <x:c r="B18" s="3" t="s">
        <x:v>854</x:v>
      </x:c>
      <x:c r="C18" s="3" t="s">
        <x:v>1704</x:v>
      </x:c>
      <x:c r="D18" s="163">
        <x:v>762510</x:v>
      </x:c>
      <x:c r="E18" s="4">
        <x:f>+D18*0.1</x:f>
        <x:v>76251</x:v>
      </x:c>
      <x:c r="F18" s="45">
        <x:f>+D18+E18</x:f>
        <x:v>838761</x:v>
      </x:c>
      <x:c r="G18" s="6" t="s">
        <x:v>1597</x:v>
      </x:c>
      <x:c r="H18" s="300"/>
      <x:c r="I18" s="3"/>
      <x:c r="J18" s="3"/>
      <x:c r="K18" s="4"/>
      <x:c r="L18" s="4">
        <x:f t="shared" si="0"/>
        <x:v>0</x:v>
      </x:c>
      <x:c r="M18" s="5">
        <x:f t="shared" si="1"/>
        <x:v>0</x:v>
      </x:c>
      <x:c r="N18" s="6"/>
    </x:row>
    <x:row r="19" spans="1:14" ht="20.100000000000001" customHeight="1">
      <x:c r="A19" s="7" t="s">
        <x:v>155</x:v>
      </x:c>
      <x:c r="B19" s="8"/>
      <x:c r="C19" s="8"/>
      <x:c r="D19" s="80">
        <x:f>SUM(D5:D18)</x:f>
        <x:v>19389010</x:v>
      </x:c>
      <x:c r="E19" s="9">
        <x:f>SUM(E5:E18)</x:f>
        <x:v>1938901</x:v>
      </x:c>
      <x:c r="F19" s="10">
        <x:f>SUM(F5:F18)</x:f>
        <x:v>21327911</x:v>
      </x:c>
      <x:c r="G19" s="11"/>
      <x:c r="H19" s="7"/>
      <x:c r="I19" s="8"/>
      <x:c r="J19" s="8"/>
      <x:c r="K19" s="9">
        <x:f>SUM(K5:K18)</x:f>
        <x:v>357800</x:v>
      </x:c>
      <x:c r="L19" s="9">
        <x:f>SUM(L5:L18)</x:f>
        <x:v>35780</x:v>
      </x:c>
      <x:c r="M19" s="10">
        <x:f>SUM(M5:M18)</x:f>
        <x:v>393580</x:v>
      </x:c>
      <x:c r="N19" s="11"/>
    </x:row>
    <x:row r="20" spans="1:14" ht="20.100000000000001" customHeight="1">
      <x:c r="A20" s="301" t="s">
        <x:v>153</x:v>
      </x:c>
      <x:c r="B20" s="3" t="s">
        <x:v>1677</x:v>
      </x:c>
      <x:c r="C20" s="3" t="s">
        <x:v>1079</x:v>
      </x:c>
      <x:c r="D20" s="163">
        <x:v>21860000</x:v>
      </x:c>
      <x:c r="E20" s="44"/>
      <x:c r="F20" s="45">
        <x:f t="shared" ref="F20:F25" si="3">+D20+E20</x:f>
        <x:v>21860000</x:v>
      </x:c>
      <x:c r="G20" s="37"/>
      <x:c r="H20" s="301" t="s">
        <x:v>153</x:v>
      </x:c>
      <x:c r="I20" s="3" t="s">
        <x:v>1677</x:v>
      </x:c>
      <x:c r="J20" s="3"/>
      <x:c r="K20" s="4"/>
      <x:c r="L20" s="4"/>
      <x:c r="M20" s="5">
        <x:f t="shared" si="1"/>
        <x:v>0</x:v>
      </x:c>
      <x:c r="N20" s="6"/>
    </x:row>
    <x:row r="21" spans="1:14" ht="20.100000000000001" customHeight="1">
      <x:c r="A21" s="299"/>
      <x:c r="B21" s="3" t="s">
        <x:v>1241</x:v>
      </x:c>
      <x:c r="C21" s="3" t="s">
        <x:v>1368</x:v>
      </x:c>
      <x:c r="D21" s="163">
        <x:v>4140000</x:v>
      </x:c>
      <x:c r="E21" s="4"/>
      <x:c r="F21" s="5">
        <x:f t="shared" si="3"/>
        <x:v>4140000</x:v>
      </x:c>
      <x:c r="G21" s="37"/>
      <x:c r="H21" s="299"/>
      <x:c r="I21" s="3"/>
      <x:c r="J21" s="3"/>
      <x:c r="K21" s="4"/>
      <x:c r="L21" s="4">
        <x:f>+K21*0.1</x:f>
        <x:v>0</x:v>
      </x:c>
      <x:c r="M21" s="5">
        <x:f t="shared" si="1"/>
        <x:v>0</x:v>
      </x:c>
      <x:c r="N21" s="6"/>
    </x:row>
    <x:row r="22" spans="1:22" s="2" customFormat="1" ht="20.100000000000001" customHeight="1">
      <x:c r="A22" s="299"/>
      <x:c r="B22" s="3" t="s">
        <x:v>1241</x:v>
      </x:c>
      <x:c r="C22" s="3" t="s">
        <x:v>1389</x:v>
      </x:c>
      <x:c r="D22" s="163">
        <x:v>13440000</x:v>
      </x:c>
      <x:c r="E22" s="4"/>
      <x:c r="F22" s="5">
        <x:f t="shared" si="3"/>
        <x:v>13440000</x:v>
      </x:c>
      <x:c r="G22" s="37"/>
      <x:c r="H22" s="299"/>
      <x:c r="I22" s="3"/>
      <x:c r="J22" s="3"/>
      <x:c r="K22" s="4"/>
      <x:c r="L22" s="4"/>
      <x:c r="M22" s="5">
        <x:f t="shared" si="1"/>
        <x:v>0</x:v>
      </x:c>
      <x:c r="N22" s="6"/>
      <x:c r="V22" s="1"/>
    </x:row>
    <x:row r="23" spans="1:22" s="2" customFormat="1" ht="20.100000000000001" customHeight="1">
      <x:c r="A23" s="299"/>
      <x:c r="B23" s="3" t="s">
        <x:v>1241</x:v>
      </x:c>
      <x:c r="C23" s="3" t="s">
        <x:v>547</x:v>
      </x:c>
      <x:c r="D23" s="163">
        <x:f>49450000+12000000</x:f>
        <x:v>61450000</x:v>
      </x:c>
      <x:c r="E23" s="4">
        <x:f>12000000*0.1</x:f>
        <x:v>1200000</x:v>
      </x:c>
      <x:c r="F23" s="5">
        <x:f t="shared" si="3"/>
        <x:v>62650000</x:v>
      </x:c>
      <x:c r="G23" s="37"/>
      <x:c r="H23" s="299"/>
      <x:c r="I23" s="3"/>
      <x:c r="J23" s="3"/>
      <x:c r="K23" s="4"/>
      <x:c r="L23" s="4"/>
      <x:c r="M23" s="5"/>
      <x:c r="N23" s="6"/>
      <x:c r="V23" s="1"/>
    </x:row>
    <x:row r="24" spans="1:22" s="2" customFormat="1" ht="20.100000000000001" customHeight="1">
      <x:c r="A24" s="299"/>
      <x:c r="B24" s="3" t="s">
        <x:v>1241</x:v>
      </x:c>
      <x:c r="C24" s="3" t="s">
        <x:v>168</x:v>
      </x:c>
      <x:c r="D24" s="163">
        <x:v>13740000</x:v>
      </x:c>
      <x:c r="E24" s="4"/>
      <x:c r="F24" s="5">
        <x:f t="shared" si="3"/>
        <x:v>13740000</x:v>
      </x:c>
      <x:c r="G24" s="6"/>
      <x:c r="H24" s="299"/>
      <x:c r="I24" s="3"/>
      <x:c r="J24" s="3"/>
      <x:c r="K24" s="4"/>
      <x:c r="L24" s="4"/>
      <x:c r="M24" s="5">
        <x:f>+K24+L24</x:f>
        <x:v>0</x:v>
      </x:c>
      <x:c r="N24" s="6"/>
      <x:c r="V24" s="1"/>
    </x:row>
    <x:row r="25" spans="1:22" s="2" customFormat="1" ht="20.100000000000001" customHeight="1">
      <x:c r="A25" s="300"/>
      <x:c r="B25" s="3" t="s">
        <x:v>1241</x:v>
      </x:c>
      <x:c r="C25" s="3" t="s">
        <x:v>311</x:v>
      </x:c>
      <x:c r="D25" s="163">
        <x:v>1650000</x:v>
      </x:c>
      <x:c r="E25" s="4"/>
      <x:c r="F25" s="5">
        <x:f t="shared" si="3"/>
        <x:v>1650000</x:v>
      </x:c>
      <x:c r="G25" s="6"/>
      <x:c r="H25" s="300"/>
      <x:c r="I25" s="3"/>
      <x:c r="J25" s="3"/>
      <x:c r="K25" s="4"/>
      <x:c r="L25" s="4"/>
      <x:c r="M25" s="5">
        <x:f t="shared" si="1"/>
        <x:v>0</x:v>
      </x:c>
      <x:c r="N25" s="6"/>
      <x:c r="V25" s="1"/>
    </x:row>
    <x:row r="26" spans="1:22" s="2" customFormat="1" ht="20.100000000000001" customHeight="1">
      <x:c r="A26" s="7" t="s">
        <x:v>155</x:v>
      </x:c>
      <x:c r="B26" s="8"/>
      <x:c r="C26" s="8"/>
      <x:c r="D26" s="80">
        <x:f>SUM(D20:D25)</x:f>
        <x:v>116280000</x:v>
      </x:c>
      <x:c r="E26" s="9">
        <x:f>SUM(E20:E25)</x:f>
        <x:v>1200000</x:v>
      </x:c>
      <x:c r="F26" s="10">
        <x:f>SUM(F20:F25)</x:f>
        <x:v>117480000</x:v>
      </x:c>
      <x:c r="G26" s="11"/>
      <x:c r="H26" s="7"/>
      <x:c r="I26" s="8"/>
      <x:c r="J26" s="8"/>
      <x:c r="K26" s="9">
        <x:f>SUM(K20:K25)</x:f>
        <x:v>0</x:v>
      </x:c>
      <x:c r="L26" s="9">
        <x:f>SUM(L20:L25)</x:f>
        <x:v>0</x:v>
      </x:c>
      <x:c r="M26" s="10">
        <x:f>SUM(M20:M25)</x:f>
        <x:v>0</x:v>
      </x:c>
      <x:c r="N26" s="11"/>
      <x:c r="V26" s="1"/>
    </x:row>
    <x:row r="27" spans="1:22" s="2" customFormat="1" ht="20.100000000000001" customHeight="1">
      <x:c r="A27" s="301" t="s">
        <x:v>187</x:v>
      </x:c>
      <x:c r="B27" s="3" t="s">
        <x:v>1321</x:v>
      </x:c>
      <x:c r="C27" s="3" t="s">
        <x:v>948</x:v>
      </x:c>
      <x:c r="D27" s="163">
        <x:v>420000</x:v>
      </x:c>
      <x:c r="E27" s="4">
        <x:f>+D27*0.1</x:f>
        <x:v>42000</x:v>
      </x:c>
      <x:c r="F27" s="5">
        <x:f>+D27+E27</x:f>
        <x:v>462000</x:v>
      </x:c>
      <x:c r="G27" s="6"/>
      <x:c r="H27" s="301" t="s">
        <x:v>187</x:v>
      </x:c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299"/>
      <x:c r="B28" s="3" t="s">
        <x:v>436</x:v>
      </x:c>
      <x:c r="C28" s="3" t="s">
        <x:v>1390</x:v>
      </x:c>
      <x:c r="D28" s="163">
        <x:v>540000</x:v>
      </x:c>
      <x:c r="E28" s="4">
        <x:f>+D28*0.1</x:f>
        <x:v>54000</x:v>
      </x:c>
      <x:c r="F28" s="5">
        <x:f>+D28+E28</x:f>
        <x:v>594000</x:v>
      </x:c>
      <x:c r="G28" s="6"/>
      <x:c r="H28" s="299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299"/>
      <x:c r="B29" s="3" t="s">
        <x:v>1387</x:v>
      </x:c>
      <x:c r="C29" s="3" t="s">
        <x:v>157</x:v>
      </x:c>
      <x:c r="D29" s="163"/>
      <x:c r="E29" s="4"/>
      <x:c r="F29" s="5">
        <x:f>+D29+E29</x:f>
        <x:v>0</x:v>
      </x:c>
      <x:c r="G29" s="6"/>
      <x:c r="H29" s="299"/>
      <x:c r="I29" s="3"/>
      <x:c r="J29" s="3"/>
      <x:c r="K29" s="4"/>
      <x:c r="L29" s="4"/>
      <x:c r="M29" s="5">
        <x:f>+K29+L29</x:f>
        <x:v>0</x:v>
      </x:c>
      <x:c r="N29" s="6"/>
      <x:c r="V29" s="1"/>
    </x:row>
    <x:row r="30" spans="1:22" s="2" customFormat="1" ht="20.100000000000001" customHeight="1">
      <x:c r="A30" s="300"/>
      <x:c r="B30" s="3"/>
      <x:c r="C30" s="3"/>
      <x:c r="D30" s="163"/>
      <x:c r="E30" s="4"/>
      <x:c r="F30" s="5">
        <x:f>+D30+E30</x:f>
        <x:v>0</x:v>
      </x:c>
      <x:c r="G30" s="6"/>
      <x:c r="H30" s="300"/>
      <x:c r="I30" s="3"/>
      <x:c r="J30" s="3"/>
      <x:c r="K30" s="4"/>
      <x:c r="L30" s="4"/>
      <x:c r="M30" s="5">
        <x:f>+K30+L30</x:f>
        <x:v>0</x:v>
      </x:c>
      <x:c r="N30" s="6"/>
      <x:c r="V30" s="1"/>
    </x:row>
    <x:row r="31" spans="1:22" s="2" customFormat="1" ht="20.100000000000001" customHeight="1">
      <x:c r="A31" s="7" t="s">
        <x:v>155</x:v>
      </x:c>
      <x:c r="B31" s="8"/>
      <x:c r="C31" s="8"/>
      <x:c r="D31" s="80">
        <x:f>SUM(D27:D30)</x:f>
        <x:v>960000</x:v>
      </x:c>
      <x:c r="E31" s="9">
        <x:f>SUM(E27:E30)</x:f>
        <x:v>96000</x:v>
      </x:c>
      <x:c r="F31" s="10">
        <x:f>SUM(F27:F30)</x:f>
        <x:v>1056000</x:v>
      </x:c>
      <x:c r="G31" s="11"/>
      <x:c r="H31" s="7"/>
      <x:c r="I31" s="8"/>
      <x:c r="J31" s="8"/>
      <x:c r="K31" s="9">
        <x:f>SUM(K27:K30)</x:f>
        <x:v>0</x:v>
      </x:c>
      <x:c r="L31" s="9">
        <x:f>SUM(L27:L30)</x:f>
        <x:v>0</x:v>
      </x:c>
      <x:c r="M31" s="10">
        <x:f>SUM(M27:M30)</x:f>
        <x:v>0</x:v>
      </x:c>
      <x:c r="N31" s="11"/>
      <x:c r="V31" s="1"/>
    </x:row>
    <x:row r="32" spans="1:22" s="2" customFormat="1" ht="20.100000000000001" customHeight="1">
      <x:c r="A32" s="301" t="s">
        <x:v>149</x:v>
      </x:c>
      <x:c r="B32" s="3" t="s">
        <x:v>185</x:v>
      </x:c>
      <x:c r="C32" s="3" t="s">
        <x:v>149</x:v>
      </x:c>
      <x:c r="D32" s="163">
        <x:v>1340390</x:v>
      </x:c>
      <x:c r="E32" s="44"/>
      <x:c r="F32" s="5">
        <x:f>+D32+E32</x:f>
        <x:v>1340390</x:v>
      </x:c>
      <x:c r="G32" s="6"/>
      <x:c r="H32" s="301" t="s">
        <x:v>149</x:v>
      </x:c>
      <x:c r="I32" s="3"/>
      <x:c r="J32" s="3" t="s">
        <x:v>149</x:v>
      </x:c>
      <x:c r="K32" s="4"/>
      <x:c r="L32" s="4"/>
      <x:c r="M32" s="5">
        <x:f t="shared" ref="M32:M40" si="4">+K32+L32</x:f>
        <x:v>0</x:v>
      </x:c>
      <x:c r="N32" s="6"/>
      <x:c r="V32" s="1"/>
    </x:row>
    <x:row r="33" spans="1:22" s="2" customFormat="1" ht="20.100000000000001" customHeight="1">
      <x:c r="A33" s="299"/>
      <x:c r="B33" s="3" t="s">
        <x:v>1274</x:v>
      </x:c>
      <x:c r="C33" s="3" t="s">
        <x:v>962</x:v>
      </x:c>
      <x:c r="D33" s="163">
        <x:v>550909</x:v>
      </x:c>
      <x:c r="E33" s="4">
        <x:f>+D33*0.1</x:f>
        <x:v>55090.900000000001</x:v>
      </x:c>
      <x:c r="F33" s="5">
        <x:f>+D33+E33</x:f>
        <x:v>605999.90000000002</x:v>
      </x:c>
      <x:c r="G33" s="6"/>
      <x:c r="H33" s="299"/>
      <x:c r="I33" s="3"/>
      <x:c r="J33" s="3"/>
      <x:c r="K33" s="4"/>
      <x:c r="L33" s="4">
        <x:f>+K33*0.1</x:f>
        <x:v>0</x:v>
      </x:c>
      <x:c r="M33" s="5">
        <x:f t="shared" si="4"/>
        <x:v>0</x:v>
      </x:c>
      <x:c r="N33" s="6"/>
      <x:c r="V33" s="1"/>
    </x:row>
    <x:row r="34" spans="1:22" s="2" customFormat="1" ht="20.100000000000001" customHeight="1">
      <x:c r="A34" s="299"/>
      <x:c r="B34" s="3" t="s">
        <x:v>1313</x:v>
      </x:c>
      <x:c r="C34" s="3" t="s">
        <x:v>825</x:v>
      </x:c>
      <x:c r="D34" s="163">
        <x:v>27500</x:v>
      </x:c>
      <x:c r="E34" s="4">
        <x:f>+D34*0.1</x:f>
        <x:v>2750</x:v>
      </x:c>
      <x:c r="F34" s="5">
        <x:f t="shared" ref="F34:F42" si="5">+D34+E34</x:f>
        <x:v>30250</x:v>
      </x:c>
      <x:c r="G34" s="6"/>
      <x:c r="H34" s="299"/>
      <x:c r="I34" s="3"/>
      <x:c r="J34" s="3"/>
      <x:c r="K34" s="4"/>
      <x:c r="L34" s="4">
        <x:f>+K34*0.1</x:f>
        <x:v>0</x:v>
      </x:c>
      <x:c r="M34" s="5">
        <x:f t="shared" si="4"/>
        <x:v>0</x:v>
      </x:c>
      <x:c r="N34" s="6"/>
      <x:c r="V34" s="1"/>
    </x:row>
    <x:row r="35" spans="1:22" s="2" customFormat="1" ht="20.100000000000001" customHeight="1">
      <x:c r="A35" s="299"/>
      <x:c r="B35" s="3" t="s">
        <x:v>994</x:v>
      </x:c>
      <x:c r="C35" s="3" t="s">
        <x:v>8</x:v>
      </x:c>
      <x:c r="D35" s="163">
        <x:v>420001</x:v>
      </x:c>
      <x:c r="E35" s="4">
        <x:v>41999</x:v>
      </x:c>
      <x:c r="F35" s="5">
        <x:f t="shared" si="5"/>
        <x:v>462000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  <x:c r="V35" s="1"/>
    </x:row>
    <x:row r="36" spans="1:22" s="2" customFormat="1" ht="20.100000000000001" customHeight="1">
      <x:c r="A36" s="299"/>
      <x:c r="B36" s="3" t="s">
        <x:v>1680</x:v>
      </x:c>
      <x:c r="C36" s="3" t="s">
        <x:v>1695</x:v>
      </x:c>
      <x:c r="D36" s="163">
        <x:v>100000</x:v>
      </x:c>
      <x:c r="E36" s="4">
        <x:f>+D36*0.1</x:f>
        <x:v>10000</x:v>
      </x:c>
      <x:c r="F36" s="5">
        <x:f t="shared" si="5"/>
        <x:v>110000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  <x:c r="V36" s="1"/>
    </x:row>
    <x:row r="37" spans="1:22" s="2" customFormat="1" ht="20.100000000000001" customHeight="1">
      <x:c r="A37" s="299"/>
      <x:c r="B37" s="3" t="s">
        <x:v>247</x:v>
      </x:c>
      <x:c r="C37" s="3" t="s">
        <x:v>231</x:v>
      </x:c>
      <x:c r="D37" s="163">
        <x:f>3500+20000</x:f>
        <x:v>23500</x:v>
      </x:c>
      <x:c r="E37" s="4">
        <x:f>+D37*0.1</x:f>
        <x:v>2350</x:v>
      </x:c>
      <x:c r="F37" s="5">
        <x:f t="shared" si="5"/>
        <x:v>25850</x:v>
      </x:c>
      <x:c r="G37" s="146" t="s">
        <x:v>1451</x:v>
      </x:c>
      <x:c r="H37" s="299"/>
      <x:c r="I37" s="3"/>
      <x:c r="J37" s="3"/>
      <x:c r="K37" s="4"/>
      <x:c r="L37" s="4">
        <x:f>+K37*0.1</x:f>
        <x:v>0</x:v>
      </x:c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1304</x:v>
      </x:c>
      <x:c r="C38" s="3" t="s">
        <x:v>167</x:v>
      </x:c>
      <x:c r="D38" s="163"/>
      <x:c r="E38" s="4"/>
      <x:c r="F38" s="5">
        <x:f t="shared" si="5"/>
        <x:v>0</x:v>
      </x:c>
      <x:c r="G38" s="146"/>
      <x:c r="H38" s="299"/>
      <x:c r="I38" s="3"/>
      <x:c r="J38" s="3"/>
      <x:c r="K38" s="4"/>
      <x:c r="L38" s="209">
        <x:f>+INT(K38*0.1)</x:f>
        <x:v>0</x:v>
      </x:c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 t="s">
        <x:v>238</x:v>
      </x:c>
      <x:c r="C39" s="3" t="s">
        <x:v>405</x:v>
      </x:c>
      <x:c r="D39" s="4">
        <x:v>420000</x:v>
      </x:c>
      <x:c r="E39" s="4"/>
      <x:c r="F39" s="5">
        <x:f t="shared" si="5"/>
        <x:v>420000</x:v>
      </x:c>
      <x:c r="G39" s="146" t="s">
        <x:v>185</x:v>
      </x:c>
      <x:c r="H39" s="299"/>
      <x:c r="I39" s="3"/>
      <x:c r="J39" s="3"/>
      <x:c r="K39" s="4"/>
      <x:c r="L39" s="209"/>
      <x:c r="M39" s="5">
        <x:f t="shared" si="4"/>
        <x:v>0</x:v>
      </x:c>
      <x:c r="N39" s="6"/>
      <x:c r="V39" s="1"/>
    </x:row>
    <x:row r="40" spans="1:22" s="2" customFormat="1" ht="20.100000000000001" customHeight="1">
      <x:c r="A40" s="299"/>
      <x:c r="B40" s="3" t="s">
        <x:v>270</x:v>
      </x:c>
      <x:c r="C40" s="3" t="s">
        <x:v>134</x:v>
      </x:c>
      <x:c r="D40" s="4">
        <x:v>290000</x:v>
      </x:c>
      <x:c r="E40" s="4"/>
      <x:c r="F40" s="5">
        <x:f t="shared" si="5"/>
        <x:v>290000</x:v>
      </x:c>
      <x:c r="G40" s="146" t="s">
        <x:v>271</x:v>
      </x:c>
      <x:c r="H40" s="299"/>
      <x:c r="I40" s="3"/>
      <x:c r="J40" s="3"/>
      <x:c r="K40" s="4"/>
      <x:c r="L40" s="4">
        <x:f>+K40*0.1</x:f>
        <x:v>0</x:v>
      </x:c>
      <x:c r="M40" s="5">
        <x:f t="shared" si="4"/>
        <x:v>0</x:v>
      </x:c>
      <x:c r="N40" s="6"/>
      <x:c r="V40" s="1"/>
    </x:row>
    <x:row r="41" spans="1:22" s="2" customFormat="1" ht="20.100000000000001" customHeight="1">
      <x:c r="A41" s="299"/>
      <x:c r="B41" s="3" t="s">
        <x:v>973</x:v>
      </x:c>
      <x:c r="C41" s="3" t="s">
        <x:v>1088</x:v>
      </x:c>
      <x:c r="D41" s="163">
        <x:v>254544</x:v>
      </x:c>
      <x:c r="E41" s="4">
        <x:f>+D41*0.1+2</x:f>
        <x:v>25456.400000000001</x:v>
      </x:c>
      <x:c r="F41" s="5">
        <x:f t="shared" si="5"/>
        <x:v>280000.40000000002</x:v>
      </x:c>
      <x:c r="G41" s="146"/>
      <x:c r="H41" s="299"/>
      <x:c r="I41" s="3"/>
      <x:c r="J41" s="3"/>
      <x:c r="K41" s="4"/>
      <x:c r="L41" s="4"/>
      <x:c r="M41" s="5"/>
      <x:c r="N41" s="6"/>
      <x:c r="V41" s="1"/>
    </x:row>
    <x:row r="42" spans="1:22" s="2" customFormat="1" ht="20.100000000000001" customHeight="1">
      <x:c r="A42" s="300"/>
      <x:c r="B42" s="3" t="s">
        <x:v>315</x:v>
      </x:c>
      <x:c r="C42" s="3" t="s">
        <x:v>149</x:v>
      </x:c>
      <x:c r="D42" s="4">
        <x:v>54200</x:v>
      </x:c>
      <x:c r="E42" s="4"/>
      <x:c r="F42" s="5">
        <x:f t="shared" si="5"/>
        <x:v>54200</x:v>
      </x:c>
      <x:c r="G42" s="6" t="s">
        <x:v>1632</x:v>
      </x:c>
      <x:c r="H42" s="300"/>
      <x:c r="I42" s="3"/>
      <x:c r="J42" s="3"/>
      <x:c r="K42" s="4"/>
      <x:c r="L42" s="4"/>
      <x:c r="M42" s="5">
        <x:f>+K42+L42</x:f>
        <x:v>0</x:v>
      </x:c>
      <x:c r="N42" s="6"/>
      <x:c r="V42" s="1"/>
    </x:row>
    <x:row r="43" spans="1:22" s="2" customFormat="1" ht="20.100000000000001" customHeight="1">
      <x:c r="A43" s="7" t="s">
        <x:v>155</x:v>
      </x:c>
      <x:c r="B43" s="8"/>
      <x:c r="C43" s="8"/>
      <x:c r="D43" s="9">
        <x:f>SUM(D32:D42)</x:f>
        <x:v>3481044</x:v>
      </x:c>
      <x:c r="E43" s="9">
        <x:f>SUM(E32:E42)</x:f>
        <x:v>137646.29999999999</x:v>
      </x:c>
      <x:c r="F43" s="10">
        <x:f>SUM(F32:F42)</x:f>
        <x:v>3618690.2999999998</x:v>
      </x:c>
      <x:c r="G43" s="11"/>
      <x:c r="H43" s="7"/>
      <x:c r="I43" s="8"/>
      <x:c r="J43" s="8"/>
      <x:c r="K43" s="9">
        <x:f>SUM(K32:K42)</x:f>
        <x:v>0</x:v>
      </x:c>
      <x:c r="L43" s="9">
        <x:f>SUM(L32:L42)</x:f>
        <x:v>0</x:v>
      </x:c>
      <x:c r="M43" s="10">
        <x:f>SUM(M32:M42)</x:f>
        <x:v>0</x:v>
      </x:c>
      <x:c r="N43" s="11"/>
      <x:c r="V43" s="1"/>
    </x:row>
    <x:row r="44" spans="1:22" s="2" customFormat="1" ht="20.100000000000001" customHeight="1">
      <x:c r="A44" s="12" t="s">
        <x:v>1690</x:v>
      </x:c>
      <x:c r="B44" s="13"/>
      <x:c r="C44" s="13"/>
      <x:c r="D44" s="14">
        <x:f>+D19+D26+D31+D43</x:f>
        <x:v>140110054</x:v>
      </x:c>
      <x:c r="E44" s="14">
        <x:f>+E19+E26+E31+E43</x:f>
        <x:v>3372547.2999999998</x:v>
      </x:c>
      <x:c r="F44" s="15">
        <x:f>+F19+F26+F31+F43</x:f>
        <x:v>143482601.30000001</x:v>
      </x:c>
      <x:c r="G44" s="16"/>
      <x:c r="H44" s="12"/>
      <x:c r="I44" s="13"/>
      <x:c r="J44" s="13"/>
      <x:c r="K44" s="14">
        <x:f>+K19+K26+K31+K43</x:f>
        <x:v>357800</x:v>
      </x:c>
      <x:c r="L44" s="14">
        <x:f>+L19+L26+L31+L43</x:f>
        <x:v>35780</x:v>
      </x:c>
      <x:c r="M44" s="15">
        <x:f>+M19+M26+M31+M43</x:f>
        <x:v>393580</x:v>
      </x:c>
      <x:c r="N44" s="16"/>
      <x:c r="V44" s="1"/>
    </x:row>
    <x:row r="45" spans="1:22" s="2" customFormat="1" ht="20.100000000000001" customHeight="1">
      <x:c r="A45" s="23" t="s">
        <x:v>35</x:v>
      </x:c>
      <x:c r="B45" s="24"/>
      <x:c r="C45" s="24"/>
      <x:c r="D45" s="25">
        <x:f>+D4-D44</x:f>
        <x:v>137169946</x:v>
      </x:c>
      <x:c r="E45" s="25">
        <x:f>+E4-E44</x:f>
        <x:v>5347452.7000000002</x:v>
      </x:c>
      <x:c r="F45" s="26">
        <x:f>+F4-F44</x:f>
        <x:v>142517398.69999999</x:v>
      </x:c>
      <x:c r="G45" s="27"/>
      <x:c r="H45" s="23"/>
      <x:c r="I45" s="24"/>
      <x:c r="J45" s="24"/>
      <x:c r="K45" s="25">
        <x:f>+K4-K44</x:f>
        <x:v>-357800</x:v>
      </x:c>
      <x:c r="L45" s="25">
        <x:f>+L4-L44</x:f>
        <x:v>-35780</x:v>
      </x:c>
      <x:c r="M45" s="26">
        <x:f>+M4-M44</x:f>
        <x:v>-393580</x:v>
      </x:c>
      <x:c r="N45" s="27"/>
      <x:c r="V45" s="1"/>
    </x:row>
    <x:row r="46" spans="1:22" s="2" customFormat="1" ht="20.100000000000001" customHeight="1">
      <x:c r="A46" s="302" t="s">
        <x:v>410</x:v>
      </x:c>
      <x:c r="B46" s="303"/>
      <x:c r="C46" s="303"/>
      <x:c r="D46" s="303"/>
      <x:c r="E46" s="303"/>
      <x:c r="F46" s="304"/>
      <x:c r="G46" s="305"/>
      <x:c r="H46" s="302" t="s">
        <x:v>789</x:v>
      </x:c>
      <x:c r="I46" s="303"/>
      <x:c r="J46" s="303"/>
      <x:c r="K46" s="303"/>
      <x:c r="L46" s="303"/>
      <x:c r="M46" s="304"/>
      <x:c r="N46" s="305"/>
      <x:c r="V46" s="1"/>
    </x:row>
    <x:row r="47" spans="1:22" s="2" customFormat="1" ht="20.100000000000001" customHeight="1">
      <x:c r="A47" s="29" t="s">
        <x:v>147</x:v>
      </x:c>
      <x:c r="B47" s="232" t="s">
        <x:v>144</x:v>
      </x:c>
      <x:c r="C47" s="232" t="s">
        <x:v>150</x:v>
      </x:c>
      <x:c r="D47" s="31" t="s">
        <x:v>145</x:v>
      </x:c>
      <x:c r="E47" s="31" t="s">
        <x:v>152</x:v>
      </x:c>
      <x:c r="F47" s="31" t="s">
        <x:v>146</x:v>
      </x:c>
      <x:c r="G47" s="34" t="s">
        <x:v>154</x:v>
      </x:c>
      <x:c r="H47" s="29" t="s">
        <x:v>147</x:v>
      </x:c>
      <x:c r="I47" s="232" t="s">
        <x:v>144</x:v>
      </x:c>
      <x:c r="J47" s="232" t="s">
        <x:v>150</x:v>
      </x:c>
      <x:c r="K47" s="31" t="s">
        <x:v>145</x:v>
      </x:c>
      <x:c r="L47" s="31" t="s">
        <x:v>152</x:v>
      </x:c>
      <x:c r="M47" s="32" t="s">
        <x:v>146</x:v>
      </x:c>
      <x:c r="N47" s="33" t="s">
        <x:v>154</x:v>
      </x:c>
      <x:c r="V47" s="1"/>
    </x:row>
    <x:row r="48" spans="1:22" s="2" customFormat="1" ht="20.100000000000001" customHeight="1">
      <x:c r="A48" s="41" t="s">
        <x:v>151</x:v>
      </x:c>
      <x:c r="B48" s="149" t="s">
        <x:v>1679</x:v>
      </x:c>
      <x:c r="C48" s="149" t="s">
        <x:v>488</x:v>
      </x:c>
      <x:c r="D48" s="150">
        <x:v>485800000</x:v>
      </x:c>
      <x:c r="E48" s="150">
        <x:f>+D48*0.1</x:f>
        <x:v>48580000</x:v>
      </x:c>
      <x:c r="F48" s="40">
        <x:f>+D48+E48</x:f>
        <x:v>534380000</x:v>
      </x:c>
      <x:c r="G48" s="42" t="s">
        <x:v>432</x:v>
      </x:c>
      <x:c r="H48" s="231" t="s">
        <x:v>151</x:v>
      </x:c>
      <x:c r="I48" s="38" t="s">
        <x:v>1679</x:v>
      </x:c>
      <x:c r="J48" s="38" t="s">
        <x:v>156</x:v>
      </x:c>
      <x:c r="K48" s="39">
        <x:v>138800000</x:v>
      </x:c>
      <x:c r="L48" s="39">
        <x:f>+K48*0.1</x:f>
        <x:v>13880000</x:v>
      </x:c>
      <x:c r="M48" s="40">
        <x:f t="shared" ref="M48:M55" si="6">+K48+L48</x:f>
        <x:v>152680000</x:v>
      </x:c>
      <x:c r="N48" s="18" t="s">
        <x:v>1588</x:v>
      </x:c>
      <x:c r="V48" s="1"/>
    </x:row>
    <x:row r="49" spans="1:22" s="2" customFormat="1" ht="20.100000000000001" customHeight="1">
      <x:c r="A49" s="298" t="s">
        <x:v>148</x:v>
      </x:c>
      <x:c r="B49" s="147" t="s">
        <x:v>867</x:v>
      </x:c>
      <x:c r="C49" s="3" t="s">
        <x:v>369</x:v>
      </x:c>
      <x:c r="D49" s="201"/>
      <x:c r="E49" s="148"/>
      <x:c r="F49" s="94">
        <x:f t="shared" ref="F49:F60" si="7">+D49+E49</x:f>
        <x:v>0</x:v>
      </x:c>
      <x:c r="G49" s="169" t="s">
        <x:v>1611</x:v>
      </x:c>
      <x:c r="H49" s="298" t="s">
        <x:v>148</x:v>
      </x:c>
      <x:c r="I49" s="54" t="s">
        <x:v>867</x:v>
      </x:c>
      <x:c r="J49" s="54" t="s">
        <x:v>440</x:v>
      </x:c>
      <x:c r="K49" s="228">
        <x:v>5292000</x:v>
      </x:c>
      <x:c r="L49" s="93">
        <x:f t="shared" ref="L49:L56" si="8">+K49*0.1</x:f>
        <x:v>529200</x:v>
      </x:c>
      <x:c r="M49" s="94">
        <x:f t="shared" si="6"/>
        <x:v>5821200</x:v>
      </x:c>
      <x:c r="N49" s="95"/>
      <x:c r="V49" s="1"/>
    </x:row>
    <x:row r="50" spans="1:22" s="2" customFormat="1" ht="20.100000000000001" customHeight="1">
      <x:c r="A50" s="299"/>
      <x:c r="B50" s="147" t="s">
        <x:v>867</x:v>
      </x:c>
      <x:c r="C50" s="3" t="s">
        <x:v>137</x:v>
      </x:c>
      <x:c r="D50" s="201">
        <x:v>1150330</x:v>
      </x:c>
      <x:c r="E50" s="148">
        <x:f>+D50*0.1</x:f>
        <x:v>115033</x:v>
      </x:c>
      <x:c r="F50" s="4">
        <x:f t="shared" si="7"/>
        <x:v>1265363</x:v>
      </x:c>
      <x:c r="G50" s="6" t="s">
        <x:v>1520</x:v>
      </x:c>
      <x:c r="H50" s="299"/>
      <x:c r="I50" s="162" t="s">
        <x:v>1348</x:v>
      </x:c>
      <x:c r="J50" s="162" t="s">
        <x:v>383</x:v>
      </x:c>
      <x:c r="K50" s="163">
        <x:v>59500</x:v>
      </x:c>
      <x:c r="L50" s="163">
        <x:f t="shared" si="8"/>
        <x:v>5950</x:v>
      </x:c>
      <x:c r="M50" s="164">
        <x:f t="shared" si="6"/>
        <x:v>65450</x:v>
      </x:c>
      <x:c r="N50" s="158"/>
      <x:c r="V50" s="1"/>
    </x:row>
    <x:row r="51" spans="1:22" s="2" customFormat="1" ht="20.100000000000001" customHeight="1">
      <x:c r="A51" s="299"/>
      <x:c r="B51" s="147" t="s">
        <x:v>1443</x:v>
      </x:c>
      <x:c r="C51" s="3" t="s">
        <x:v>179</x:v>
      </x:c>
      <x:c r="D51" s="163">
        <x:v>9171550</x:v>
      </x:c>
      <x:c r="E51" s="4">
        <x:f>+D51*0.1</x:f>
        <x:v>917155</x:v>
      </x:c>
      <x:c r="F51" s="5">
        <x:f t="shared" si="7"/>
        <x:v>10088705</x:v>
      </x:c>
      <x:c r="G51" s="6"/>
      <x:c r="H51" s="299"/>
      <x:c r="I51" s="3" t="s">
        <x:v>838</x:v>
      </x:c>
      <x:c r="J51" s="3" t="s">
        <x:v>1116</x:v>
      </x:c>
      <x:c r="K51" s="163">
        <x:v>2171000</x:v>
      </x:c>
      <x:c r="L51" s="4">
        <x:f t="shared" si="8"/>
        <x:v>217100</x:v>
      </x:c>
      <x:c r="M51" s="5">
        <x:f t="shared" si="6"/>
        <x:v>2388100</x:v>
      </x:c>
      <x:c r="N51" s="6"/>
      <x:c r="V51" s="1"/>
    </x:row>
    <x:row r="52" spans="1:22" s="2" customFormat="1" ht="20.100000000000001" customHeight="1">
      <x:c r="A52" s="299"/>
      <x:c r="B52" s="3" t="s">
        <x:v>1315</x:v>
      </x:c>
      <x:c r="C52" s="3"/>
      <x:c r="D52" s="163"/>
      <x:c r="E52" s="4"/>
      <x:c r="F52" s="5">
        <x:f t="shared" si="7"/>
        <x:v>0</x:v>
      </x:c>
      <x:c r="G52" s="6" t="s">
        <x:v>1520</x:v>
      </x:c>
      <x:c r="H52" s="299"/>
      <x:c r="I52" s="3" t="s">
        <x:v>1119</x:v>
      </x:c>
      <x:c r="J52" s="3" t="s">
        <x:v>1386</x:v>
      </x:c>
      <x:c r="K52" s="163"/>
      <x:c r="L52" s="4">
        <x:f t="shared" si="8"/>
        <x:v>0</x:v>
      </x:c>
      <x:c r="M52" s="5">
        <x:f t="shared" si="6"/>
        <x:v>0</x:v>
      </x:c>
      <x:c r="N52" s="37" t="s">
        <x:v>1611</x:v>
      </x:c>
      <x:c r="V52" s="1"/>
    </x:row>
    <x:row r="53" spans="1:22" s="2" customFormat="1" ht="20.100000000000001" customHeight="1">
      <x:c r="A53" s="299"/>
      <x:c r="B53" s="3" t="s">
        <x:v>1627</x:v>
      </x:c>
      <x:c r="C53" s="3" t="s">
        <x:v>244</x:v>
      </x:c>
      <x:c r="D53" s="163"/>
      <x:c r="E53" s="4"/>
      <x:c r="F53" s="5">
        <x:f t="shared" si="7"/>
        <x:v>0</x:v>
      </x:c>
      <x:c r="G53" s="37" t="s">
        <x:v>1611</x:v>
      </x:c>
      <x:c r="H53" s="299"/>
      <x:c r="I53" s="3" t="s">
        <x:v>938</x:v>
      </x:c>
      <x:c r="J53" s="3" t="s">
        <x:v>1599</x:v>
      </x:c>
      <x:c r="K53" s="163">
        <x:v>5226000</x:v>
      </x:c>
      <x:c r="L53" s="4">
        <x:f t="shared" si="8"/>
        <x:v>522600</x:v>
      </x:c>
      <x:c r="M53" s="5">
        <x:f t="shared" si="6"/>
        <x:v>5748600</x:v>
      </x:c>
      <x:c r="N53" s="6" t="s">
        <x:v>1431</x:v>
      </x:c>
      <x:c r="V53" s="1"/>
    </x:row>
    <x:row r="54" spans="1:22" s="2" customFormat="1" ht="20.100000000000001" customHeight="1">
      <x:c r="A54" s="299"/>
      <x:c r="B54" s="3" t="s">
        <x:v>1348</x:v>
      </x:c>
      <x:c r="C54" s="3" t="s">
        <x:v>1586</x:v>
      </x:c>
      <x:c r="D54" s="163">
        <x:v>5945678</x:v>
      </x:c>
      <x:c r="E54" s="4">
        <x:f>+D54*0.1-1</x:f>
        <x:v>594566.80000000005</x:v>
      </x:c>
      <x:c r="F54" s="5">
        <x:f t="shared" si="7"/>
        <x:v>6540244.7999999998</x:v>
      </x:c>
      <x:c r="G54" s="6"/>
      <x:c r="H54" s="299"/>
      <x:c r="I54" s="3" t="s">
        <x:v>864</x:v>
      </x:c>
      <x:c r="J54" s="3" t="s">
        <x:v>133</x:v>
      </x:c>
      <x:c r="K54" s="163">
        <x:v>1846000</x:v>
      </x:c>
      <x:c r="L54" s="4">
        <x:f t="shared" si="8"/>
        <x:v>184600</x:v>
      </x:c>
      <x:c r="M54" s="5">
        <x:f t="shared" si="6"/>
        <x:v>2030600</x:v>
      </x:c>
      <x:c r="N54" s="6"/>
      <x:c r="V54" s="1"/>
    </x:row>
    <x:row r="55" spans="1:22" s="2" customFormat="1" ht="20.100000000000001" customHeight="1">
      <x:c r="A55" s="299"/>
      <x:c r="B55" s="3" t="s">
        <x:v>864</x:v>
      </x:c>
      <x:c r="C55" s="3" t="s">
        <x:v>563</x:v>
      </x:c>
      <x:c r="D55" s="163">
        <x:v>862090</x:v>
      </x:c>
      <x:c r="E55" s="4">
        <x:f>+D55*0.1</x:f>
        <x:v>86209</x:v>
      </x:c>
      <x:c r="F55" s="5">
        <x:f t="shared" si="7"/>
        <x:v>948299</x:v>
      </x:c>
      <x:c r="G55" s="6"/>
      <x:c r="H55" s="299"/>
      <x:c r="I55" s="3" t="s">
        <x:v>1058</x:v>
      </x:c>
      <x:c r="J55" s="3" t="s">
        <x:v>554</x:v>
      </x:c>
      <x:c r="K55" s="163">
        <x:v>30534500</x:v>
      </x:c>
      <x:c r="L55" s="163">
        <x:f t="shared" si="8"/>
        <x:v>3053450</x:v>
      </x:c>
      <x:c r="M55" s="164">
        <x:f t="shared" si="6"/>
        <x:v>33587950</x:v>
      </x:c>
      <x:c r="N55" s="6"/>
      <x:c r="V55" s="1"/>
    </x:row>
    <x:row r="56" spans="1:22" s="2" customFormat="1" ht="20.100000000000001" customHeight="1">
      <x:c r="A56" s="299"/>
      <x:c r="B56" s="3" t="s">
        <x:v>864</x:v>
      </x:c>
      <x:c r="C56" s="3" t="s">
        <x:v>445</x:v>
      </x:c>
      <x:c r="D56" s="163">
        <x:v>1648990</x:v>
      </x:c>
      <x:c r="E56" s="4">
        <x:f>+D56*0.1</x:f>
        <x:v>164899</x:v>
      </x:c>
      <x:c r="F56" s="5">
        <x:f t="shared" si="7"/>
        <x:v>1813889</x:v>
      </x:c>
      <x:c r="G56" s="6" t="s">
        <x:v>1520</x:v>
      </x:c>
      <x:c r="H56" s="299"/>
      <x:c r="I56" s="3" t="s">
        <x:v>1378</x:v>
      </x:c>
      <x:c r="J56" s="3" t="s">
        <x:v>1452</x:v>
      </x:c>
      <x:c r="K56" s="163">
        <x:v>4279200</x:v>
      </x:c>
      <x:c r="L56" s="4">
        <x:f t="shared" si="8"/>
        <x:v>427920</x:v>
      </x:c>
      <x:c r="M56" s="5">
        <x:f>+K56+L56</x:f>
        <x:v>4707120</x:v>
      </x:c>
      <x:c r="N56" s="6"/>
      <x:c r="V56" s="1"/>
    </x:row>
    <x:row r="57" spans="1:22" s="2" customFormat="1" ht="20.100000000000001" customHeight="1">
      <x:c r="A57" s="299"/>
      <x:c r="B57" s="3" t="s">
        <x:v>228</x:v>
      </x:c>
      <x:c r="C57" s="3" t="s">
        <x:v>1499</x:v>
      </x:c>
      <x:c r="D57" s="163">
        <x:v>8330000</x:v>
      </x:c>
      <x:c r="E57" s="4">
        <x:f>+D57*0.1</x:f>
        <x:v>833000</x:v>
      </x:c>
      <x:c r="F57" s="5">
        <x:f t="shared" si="7"/>
        <x:v>9163000</x:v>
      </x:c>
      <x:c r="G57" s="6"/>
      <x:c r="H57" s="299"/>
      <x:c r="I57" s="3" t="s">
        <x:v>1315</x:v>
      </x:c>
      <x:c r="J57" s="3"/>
      <x:c r="K57" s="163"/>
      <x:c r="L57" s="4"/>
      <x:c r="M57" s="5">
        <x:f>+K57+L57</x:f>
        <x:v>0</x:v>
      </x:c>
      <x:c r="N57" s="6"/>
      <x:c r="V57" s="1"/>
    </x:row>
    <x:row r="58" spans="1:22" s="2" customFormat="1" ht="20.100000000000001" customHeight="1">
      <x:c r="A58" s="299"/>
      <x:c r="B58" s="3" t="s">
        <x:v>1319</x:v>
      </x:c>
      <x:c r="C58" s="3" t="s">
        <x:v>1295</x:v>
      </x:c>
      <x:c r="D58" s="163">
        <x:v>84000</x:v>
      </x:c>
      <x:c r="E58" s="4">
        <x:f>+D58*0.1</x:f>
        <x:v>8400</x:v>
      </x:c>
      <x:c r="F58" s="5">
        <x:f t="shared" si="7"/>
        <x:v>92400</x:v>
      </x:c>
      <x:c r="G58" s="6"/>
      <x:c r="H58" s="299"/>
      <x:c r="I58" s="3" t="s">
        <x:v>846</x:v>
      </x:c>
      <x:c r="J58" s="3" t="s">
        <x:v>1587</x:v>
      </x:c>
      <x:c r="K58" s="163">
        <x:v>2061700</x:v>
      </x:c>
      <x:c r="L58" s="4">
        <x:f>+K58*0.1</x:f>
        <x:v>206170</x:v>
      </x:c>
      <x:c r="M58" s="5">
        <x:f>+K58+L58</x:f>
        <x:v>2267870</x:v>
      </x:c>
      <x:c r="N58" s="6"/>
      <x:c r="V58" s="1"/>
    </x:row>
    <x:row r="59" spans="1:22" s="2" customFormat="1" ht="20.100000000000001" customHeight="1">
      <x:c r="A59" s="299"/>
      <x:c r="B59" s="3" t="s">
        <x:v>566</x:v>
      </x:c>
      <x:c r="C59" s="3" t="s">
        <x:v>1628</x:v>
      </x:c>
      <x:c r="D59" s="163"/>
      <x:c r="E59" s="4"/>
      <x:c r="F59" s="5">
        <x:f t="shared" si="7"/>
        <x:v>0</x:v>
      </x:c>
      <x:c r="G59" s="37" t="s">
        <x:v>1611</x:v>
      </x:c>
      <x:c r="H59" s="299"/>
      <x:c r="I59" s="3" t="s">
        <x:v>854</x:v>
      </x:c>
      <x:c r="J59" s="3"/>
      <x:c r="K59" s="163"/>
      <x:c r="L59" s="4"/>
      <x:c r="M59" s="5">
        <x:f>+K59+L59</x:f>
        <x:v>0</x:v>
      </x:c>
      <x:c r="N59" s="6"/>
      <x:c r="V59" s="1"/>
    </x:row>
    <x:row r="60" spans="1:22" s="2" customFormat="1" ht="20.100000000000001" customHeight="1">
      <x:c r="A60" s="299"/>
      <x:c r="B60" s="3" t="s">
        <x:v>846</x:v>
      </x:c>
      <x:c r="C60" s="3" t="s">
        <x:v>1603</x:v>
      </x:c>
      <x:c r="D60" s="163">
        <x:v>366000</x:v>
      </x:c>
      <x:c r="E60" s="4">
        <x:f>+D60*0.1</x:f>
        <x:v>36600</x:v>
      </x:c>
      <x:c r="F60" s="5">
        <x:f t="shared" si="7"/>
        <x:v>402600</x:v>
      </x:c>
      <x:c r="G60" s="6"/>
      <x:c r="H60" s="299"/>
      <x:c r="I60" s="3" t="s">
        <x:v>1608</x:v>
      </x:c>
      <x:c r="J60" s="3" t="s">
        <x:v>302</x:v>
      </x:c>
      <x:c r="K60" s="163">
        <x:v>550000</x:v>
      </x:c>
      <x:c r="L60" s="4">
        <x:f>+K60*0.1</x:f>
        <x:v>55000</x:v>
      </x:c>
      <x:c r="M60" s="5">
        <x:f>+K60+L60</x:f>
        <x:v>605000</x:v>
      </x:c>
      <x:c r="N60" s="6"/>
      <x:c r="V60" s="1"/>
    </x:row>
    <x:row r="61" spans="1:22" s="2" customFormat="1" ht="20.100000000000001" customHeight="1">
      <x:c r="A61" s="299"/>
      <x:c r="B61" s="3" t="s">
        <x:v>483</x:v>
      </x:c>
      <x:c r="C61" s="3" t="s">
        <x:v>544</x:v>
      </x:c>
      <x:c r="D61" s="227"/>
      <x:c r="E61" s="4"/>
      <x:c r="F61" s="5">
        <x:f>+D61+E61</x:f>
        <x:v>0</x:v>
      </x:c>
      <x:c r="G61" s="37" t="s">
        <x:v>1611</x:v>
      </x:c>
      <x:c r="H61" s="299"/>
      <x:c r="I61" s="3"/>
      <x:c r="J61" s="3"/>
      <x:c r="K61" s="163"/>
      <x:c r="L61" s="4"/>
      <x:c r="M61" s="5"/>
      <x:c r="N61" s="6"/>
      <x:c r="V61" s="1"/>
    </x:row>
    <x:row r="62" spans="1:22" s="2" customFormat="1" ht="20.100000000000001" customHeight="1">
      <x:c r="A62" s="299"/>
      <x:c r="B62" s="3" t="s">
        <x:v>1378</x:v>
      </x:c>
      <x:c r="C62" s="3" t="s">
        <x:v>1152</x:v>
      </x:c>
      <x:c r="D62" s="227">
        <x:v>1867700</x:v>
      </x:c>
      <x:c r="E62" s="4">
        <x:f>+D62*0.1</x:f>
        <x:v>186770</x:v>
      </x:c>
      <x:c r="F62" s="5">
        <x:f>+D62+E62</x:f>
        <x:v>2054470</x:v>
      </x:c>
      <x:c r="G62" s="37"/>
      <x:c r="H62" s="299"/>
      <x:c r="I62" s="3"/>
      <x:c r="J62" s="3"/>
      <x:c r="K62" s="163"/>
      <x:c r="L62" s="4"/>
      <x:c r="M62" s="5"/>
      <x:c r="N62" s="6"/>
      <x:c r="V62" s="1"/>
    </x:row>
    <x:row r="63" spans="1:22" s="2" customFormat="1" ht="20.100000000000001" customHeight="1">
      <x:c r="A63" s="299"/>
      <x:c r="B63" s="129" t="s">
        <x:v>854</x:v>
      </x:c>
      <x:c r="C63" s="3" t="s">
        <x:v>1704</x:v>
      </x:c>
      <x:c r="D63" s="227">
        <x:v>350700</x:v>
      </x:c>
      <x:c r="E63" s="4">
        <x:f>+D63*0.1</x:f>
        <x:v>35070</x:v>
      </x:c>
      <x:c r="F63" s="5">
        <x:f>+D63+E63</x:f>
        <x:v>385770</x:v>
      </x:c>
      <x:c r="G63" s="6"/>
      <x:c r="H63" s="299"/>
      <x:c r="I63" s="3"/>
      <x:c r="J63" s="3"/>
      <x:c r="K63" s="163"/>
      <x:c r="L63" s="4"/>
      <x:c r="M63" s="5"/>
      <x:c r="N63" s="6"/>
      <x:c r="V63" s="1"/>
    </x:row>
    <x:row r="64" spans="1:22" s="2" customFormat="1" ht="20.100000000000001" customHeight="1">
      <x:c r="A64" s="299"/>
      <x:c r="B64" s="129" t="s">
        <x:v>1477</x:v>
      </x:c>
      <x:c r="C64" s="129" t="s">
        <x:v>1456</x:v>
      </x:c>
      <x:c r="D64" s="163">
        <x:v>11300000</x:v>
      </x:c>
      <x:c r="E64" s="4">
        <x:f>+D64*0.1</x:f>
        <x:v>1130000</x:v>
      </x:c>
      <x:c r="F64" s="5">
        <x:f t="shared" ref="F64:F65" si="9">+D64+E64</x:f>
        <x:v>12430000</x:v>
      </x:c>
      <x:c r="G64" s="6"/>
      <x:c r="H64" s="299"/>
      <x:c r="I64" s="3"/>
      <x:c r="J64" s="3"/>
      <x:c r="K64" s="163"/>
      <x:c r="L64" s="4"/>
      <x:c r="M64" s="5"/>
      <x:c r="N64" s="6"/>
      <x:c r="V64" s="1"/>
    </x:row>
    <x:row r="65" spans="1:22" s="2" customFormat="1" ht="20.100000000000001" customHeight="1">
      <x:c r="A65" s="299"/>
      <x:c r="B65" s="129" t="s">
        <x:v>1591</x:v>
      </x:c>
      <x:c r="C65" s="129" t="s">
        <x:v>1438</x:v>
      </x:c>
      <x:c r="D65" s="163">
        <x:v>1579800</x:v>
      </x:c>
      <x:c r="E65" s="4">
        <x:f>+D65*0.1</x:f>
        <x:v>157980</x:v>
      </x:c>
      <x:c r="F65" s="5">
        <x:f t="shared" si="9"/>
        <x:v>1737780</x:v>
      </x:c>
      <x:c r="G65" s="6" t="s">
        <x:v>1423</x:v>
      </x:c>
      <x:c r="H65" s="300"/>
      <x:c r="I65" s="3"/>
      <x:c r="J65" s="3"/>
      <x:c r="K65" s="163"/>
      <x:c r="L65" s="4"/>
      <x:c r="M65" s="5"/>
      <x:c r="N65" s="6"/>
      <x:c r="V65" s="1"/>
    </x:row>
    <x:row r="66" spans="1:22" s="2" customFormat="1" ht="20.100000000000001" customHeight="1">
      <x:c r="A66" s="7"/>
      <x:c r="B66" s="8"/>
      <x:c r="C66" s="8"/>
      <x:c r="D66" s="80">
        <x:f>SUM(D49:D65)</x:f>
        <x:v>42656838</x:v>
      </x:c>
      <x:c r="E66" s="9">
        <x:f>SUM(E49:E65)</x:f>
        <x:v>4265682.7999999998</x:v>
      </x:c>
      <x:c r="F66" s="10">
        <x:f>SUM(F49:F65)</x:f>
        <x:v>46922520.799999997</x:v>
      </x:c>
      <x:c r="G66" s="11"/>
      <x:c r="H66" s="7" t="s">
        <x:v>155</x:v>
      </x:c>
      <x:c r="I66" s="8"/>
      <x:c r="J66" s="8"/>
      <x:c r="K66" s="80">
        <x:f>SUM(K49:K65)</x:f>
        <x:v>52019900</x:v>
      </x:c>
      <x:c r="L66" s="9">
        <x:f>SUM(L49:L65)</x:f>
        <x:v>5201990</x:v>
      </x:c>
      <x:c r="M66" s="10">
        <x:f>SUM(M49:M65)</x:f>
        <x:v>57221890</x:v>
      </x:c>
      <x:c r="N66" s="11"/>
      <x:c r="V66" s="1"/>
    </x:row>
    <x:row r="67" spans="1:22" s="2" customFormat="1" ht="20.100000000000001" customHeight="1">
      <x:c r="A67" s="301" t="s">
        <x:v>153</x:v>
      </x:c>
      <x:c r="B67" s="3" t="s">
        <x:v>1677</x:v>
      </x:c>
      <x:c r="C67" s="3" t="s">
        <x:v>1492</x:v>
      </x:c>
      <x:c r="D67" s="163">
        <x:v>67303400</x:v>
      </x:c>
      <x:c r="E67" s="4"/>
      <x:c r="F67" s="5">
        <x:f>+D67+E67</x:f>
        <x:v>67303400</x:v>
      </x:c>
      <x:c r="G67" s="6" t="s">
        <x:v>1423</x:v>
      </x:c>
      <x:c r="H67" s="301" t="s">
        <x:v>153</x:v>
      </x:c>
      <x:c r="I67" s="3" t="s">
        <x:v>1677</x:v>
      </x:c>
      <x:c r="J67" s="3" t="s">
        <x:v>1308</x:v>
      </x:c>
      <x:c r="K67" s="163">
        <x:v>45830000</x:v>
      </x:c>
      <x:c r="L67" s="44"/>
      <x:c r="M67" s="45">
        <x:f>+K67+L67</x:f>
        <x:v>45830000</x:v>
      </x:c>
      <x:c r="N67" s="37"/>
      <x:c r="V67" s="1"/>
    </x:row>
    <x:row r="68" spans="1:22" s="2" customFormat="1" ht="20.100000000000001" customHeight="1">
      <x:c r="A68" s="299"/>
      <x:c r="B68" s="3" t="s">
        <x:v>1677</x:v>
      </x:c>
      <x:c r="C68" s="3" t="s">
        <x:v>1604</x:v>
      </x:c>
      <x:c r="D68" s="163">
        <x:v>37385000</x:v>
      </x:c>
      <x:c r="E68" s="4"/>
      <x:c r="F68" s="5">
        <x:f>+D68+E68</x:f>
        <x:v>37385000</x:v>
      </x:c>
      <x:c r="G68" s="6" t="s">
        <x:v>1520</x:v>
      </x:c>
      <x:c r="H68" s="299"/>
      <x:c r="I68" s="3" t="s">
        <x:v>1241</x:v>
      </x:c>
      <x:c r="J68" s="3" t="s">
        <x:v>523</x:v>
      </x:c>
      <x:c r="K68" s="163">
        <x:v>9860000</x:v>
      </x:c>
      <x:c r="L68" s="44"/>
      <x:c r="M68" s="45">
        <x:f>+K68+L68</x:f>
        <x:v>9860000</x:v>
      </x:c>
      <x:c r="N68" s="37"/>
      <x:c r="V68" s="1"/>
    </x:row>
    <x:row r="69" spans="1:22" s="2" customFormat="1" ht="20.100000000000001" customHeight="1">
      <x:c r="A69" s="299"/>
      <x:c r="B69" s="154"/>
      <x:c r="C69" s="3"/>
      <x:c r="D69" s="163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163">
        <x:v>2000000</x:v>
      </x:c>
      <x:c r="L69" s="4">
        <x:f>+K69*0.1</x:f>
        <x:v>200000</x:v>
      </x:c>
      <x:c r="M69" s="5">
        <x:f>+K69+L69</x:f>
        <x:v>2200000</x:v>
      </x:c>
      <x:c r="N69" s="6" t="s">
        <x:v>1546</x:v>
      </x:c>
      <x:c r="V69" s="1"/>
    </x:row>
    <x:row r="70" spans="1:22" s="2" customFormat="1" ht="20.100000000000001" customHeight="1">
      <x:c r="A70" s="300"/>
      <x:c r="B70" s="3"/>
      <x:c r="C70" s="3"/>
      <x:c r="D70" s="163"/>
      <x:c r="E70" s="4"/>
      <x:c r="F70" s="5"/>
      <x:c r="G70" s="6"/>
      <x:c r="H70" s="300"/>
      <x:c r="I70" s="3"/>
      <x:c r="J70" s="3"/>
      <x:c r="K70" s="163"/>
      <x:c r="L70" s="4"/>
      <x:c r="M70" s="5">
        <x:f>+K70+L70</x:f>
        <x:v>0</x:v>
      </x:c>
      <x:c r="N70" s="6"/>
      <x:c r="V70" s="1"/>
    </x:row>
    <x:row r="71" spans="1:22" s="2" customFormat="1" ht="20.100000000000001" customHeight="1">
      <x:c r="A71" s="7"/>
      <x:c r="B71" s="8"/>
      <x:c r="C71" s="8"/>
      <x:c r="D71" s="80">
        <x:f>SUM(D67:D70)</x:f>
        <x:v>104688400</x:v>
      </x:c>
      <x:c r="E71" s="9">
        <x:f>SUM(E67:E70)</x:f>
        <x:v>0</x:v>
      </x:c>
      <x:c r="F71" s="10">
        <x:f>SUM(F67:F70)</x:f>
        <x:v>104688400</x:v>
      </x:c>
      <x:c r="G71" s="11"/>
      <x:c r="H71" s="7" t="s">
        <x:v>155</x:v>
      </x:c>
      <x:c r="I71" s="8"/>
      <x:c r="J71" s="8"/>
      <x:c r="K71" s="80">
        <x:f>SUM(K67:K70)</x:f>
        <x:v>57690000</x:v>
      </x:c>
      <x:c r="L71" s="9">
        <x:f>SUM(L67:L70)</x:f>
        <x:v>200000</x:v>
      </x:c>
      <x:c r="M71" s="10">
        <x:f>SUM(M67:M70)</x:f>
        <x:v>57890000</x:v>
      </x:c>
      <x:c r="N71" s="11"/>
      <x:c r="V71" s="1"/>
    </x:row>
    <x:row r="72" spans="1:22" s="2" customFormat="1" ht="20.100000000000001" customHeight="1">
      <x:c r="A72" s="301" t="s">
        <x:v>187</x:v>
      </x:c>
      <x:c r="B72" s="3" t="s">
        <x:v>1124</x:v>
      </x:c>
      <x:c r="C72" s="3" t="s">
        <x:v>1006</x:v>
      </x:c>
      <x:c r="D72" s="163">
        <x:v>1300000</x:v>
      </x:c>
      <x:c r="E72" s="4">
        <x:f>+D72*0.1</x:f>
        <x:v>130000</x:v>
      </x:c>
      <x:c r="F72" s="5">
        <x:f t="shared" ref="F72:F77" si="10">+D72+E72</x:f>
        <x:v>1430000</x:v>
      </x:c>
      <x:c r="G72" s="6"/>
      <x:c r="H72" s="301" t="s">
        <x:v>187</x:v>
      </x:c>
      <x:c r="I72" s="3" t="s">
        <x:v>1461</x:v>
      </x:c>
      <x:c r="J72" s="3" t="s">
        <x:v>1006</x:v>
      </x:c>
      <x:c r="K72" s="163">
        <x:v>1386000</x:v>
      </x:c>
      <x:c r="L72" s="4">
        <x:f>+K72*0.1</x:f>
        <x:v>138600</x:v>
      </x:c>
      <x:c r="M72" s="5">
        <x:f>+K72+L72</x:f>
        <x:v>1524600</x:v>
      </x:c>
      <x:c r="N72" s="6" t="s">
        <x:v>277</x:v>
      </x:c>
      <x:c r="V72" s="1"/>
    </x:row>
    <x:row r="73" spans="1:22" s="2" customFormat="1" ht="20.100000000000001" customHeight="1">
      <x:c r="A73" s="299"/>
      <x:c r="B73" s="178" t="s">
        <x:v>307</x:v>
      </x:c>
      <x:c r="C73" s="3" t="s">
        <x:v>1478</x:v>
      </x:c>
      <x:c r="D73" s="163">
        <x:v>2400000</x:v>
      </x:c>
      <x:c r="E73" s="4">
        <x:f>+D73*0.1</x:f>
        <x:v>240000</x:v>
      </x:c>
      <x:c r="F73" s="5">
        <x:f t="shared" si="10"/>
        <x:v>2640000</x:v>
      </x:c>
      <x:c r="G73" s="6" t="s">
        <x:v>1423</x:v>
      </x:c>
      <x:c r="H73" s="299"/>
      <x:c r="I73" s="3" t="s">
        <x:v>524</x:v>
      </x:c>
      <x:c r="J73" s="3" t="s">
        <x:v>948</x:v>
      </x:c>
      <x:c r="K73" s="163">
        <x:v>120000</x:v>
      </x:c>
      <x:c r="L73" s="4">
        <x:f>+K73*0.1</x:f>
        <x:v>12000</x:v>
      </x:c>
      <x:c r="M73" s="5">
        <x:f>+K73+L73</x:f>
        <x:v>132000</x:v>
      </x:c>
      <x:c r="N73" s="6"/>
      <x:c r="V73" s="1"/>
    </x:row>
    <x:row r="74" spans="1:22" s="2" customFormat="1" ht="20.100000000000001" customHeight="1">
      <x:c r="A74" s="299"/>
      <x:c r="B74" s="3" t="s">
        <x:v>1486</x:v>
      </x:c>
      <x:c r="C74" s="3" t="s">
        <x:v>948</x:v>
      </x:c>
      <x:c r="D74" s="163">
        <x:v>350000</x:v>
      </x:c>
      <x:c r="E74" s="4">
        <x:f>+D74*0.1</x:f>
        <x:v>35000</x:v>
      </x:c>
      <x:c r="F74" s="5">
        <x:f t="shared" si="10"/>
        <x:v>385000</x:v>
      </x:c>
      <x:c r="G74" s="6" t="s">
        <x:v>1546</x:v>
      </x:c>
      <x:c r="H74" s="299"/>
      <x:c r="I74" s="3" t="s">
        <x:v>176</x:v>
      </x:c>
      <x:c r="J74" s="3" t="s">
        <x:v>1081</x:v>
      </x:c>
      <x:c r="K74" s="163">
        <x:v>350000</x:v>
      </x:c>
      <x:c r="L74" s="4">
        <x:f>+K74*0.1</x:f>
        <x:v>35000</x:v>
      </x:c>
      <x:c r="M74" s="5">
        <x:f>+K74+L74</x:f>
        <x:v>385000</x:v>
      </x:c>
      <x:c r="N74" s="6"/>
      <x:c r="V74" s="1"/>
    </x:row>
    <x:row r="75" spans="1:22" s="2" customFormat="1" ht="20.100000000000001" customHeight="1">
      <x:c r="A75" s="299"/>
      <x:c r="B75" s="3" t="s">
        <x:v>1041</x:v>
      </x:c>
      <x:c r="C75" s="3" t="s">
        <x:v>1640</x:v>
      </x:c>
      <x:c r="D75" s="163">
        <x:v>240000</x:v>
      </x:c>
      <x:c r="E75" s="4">
        <x:f>+D75*0.1</x:f>
        <x:v>24000</x:v>
      </x:c>
      <x:c r="F75" s="5">
        <x:f t="shared" si="10"/>
        <x:v>264000</x:v>
      </x:c>
      <x:c r="G75" s="6" t="s">
        <x:v>1423</x:v>
      </x:c>
      <x:c r="H75" s="299"/>
      <x:c r="I75" s="3"/>
      <x:c r="J75" s="3"/>
      <x:c r="K75" s="163"/>
      <x:c r="L75" s="4"/>
      <x:c r="M75" s="5"/>
      <x:c r="N75" s="6"/>
      <x:c r="V75" s="1"/>
    </x:row>
    <x:row r="76" spans="1:22" s="2" customFormat="1" ht="20.100000000000001" customHeight="1">
      <x:c r="A76" s="299"/>
      <x:c r="B76" s="3" t="s">
        <x:v>1619</x:v>
      </x:c>
      <x:c r="C76" s="3" t="s">
        <x:v>1641</x:v>
      </x:c>
      <x:c r="D76" s="163">
        <x:v>500000</x:v>
      </x:c>
      <x:c r="E76" s="4">
        <x:f>+D76*0.1</x:f>
        <x:v>50000</x:v>
      </x:c>
      <x:c r="F76" s="5">
        <x:f t="shared" si="10"/>
        <x:v>550000</x:v>
      </x:c>
      <x:c r="G76" s="6" t="s">
        <x:v>1423</x:v>
      </x:c>
      <x:c r="H76" s="299"/>
      <x:c r="I76" s="3"/>
      <x:c r="J76" s="3"/>
      <x:c r="K76" s="163"/>
      <x:c r="L76" s="4"/>
      <x:c r="M76" s="5"/>
      <x:c r="N76" s="6"/>
      <x:c r="V76" s="1"/>
    </x:row>
    <x:row r="77" spans="1:22" s="2" customFormat="1" ht="20.100000000000001" customHeight="1">
      <x:c r="A77" s="299"/>
      <x:c r="B77" s="3"/>
      <x:c r="C77" s="3"/>
      <x:c r="D77" s="163"/>
      <x:c r="E77" s="4"/>
      <x:c r="F77" s="5">
        <x:f t="shared" si="10"/>
        <x:v>0</x:v>
      </x:c>
      <x:c r="G77" s="6"/>
      <x:c r="H77" s="299"/>
      <x:c r="I77" s="3"/>
      <x:c r="J77" s="3"/>
      <x:c r="K77" s="163"/>
      <x:c r="L77" s="4"/>
      <x:c r="M77" s="5"/>
      <x:c r="N77" s="6"/>
      <x:c r="V77" s="1"/>
    </x:row>
    <x:row r="78" spans="1:22" s="2" customFormat="1" ht="20.100000000000001" customHeight="1">
      <x:c r="A78" s="7"/>
      <x:c r="B78" s="8"/>
      <x:c r="C78" s="8"/>
      <x:c r="D78" s="80">
        <x:f>SUM(D72:D77)</x:f>
        <x:v>4790000</x:v>
      </x:c>
      <x:c r="E78" s="9">
        <x:f>SUM(E72:E77)</x:f>
        <x:v>479000</x:v>
      </x:c>
      <x:c r="F78" s="10">
        <x:f>SUM(F72:F77)</x:f>
        <x:v>5269000</x:v>
      </x:c>
      <x:c r="G78" s="11"/>
      <x:c r="H78" s="7" t="s">
        <x:v>155</x:v>
      </x:c>
      <x:c r="I78" s="8"/>
      <x:c r="J78" s="8"/>
      <x:c r="K78" s="80">
        <x:f>SUM(K72:K77)</x:f>
        <x:v>1856000</x:v>
      </x:c>
      <x:c r="L78" s="9">
        <x:f>SUM(L72:L77)</x:f>
        <x:v>185600</x:v>
      </x:c>
      <x:c r="M78" s="10">
        <x:f>SUM(M72:M77)</x:f>
        <x:v>2041600</x:v>
      </x:c>
      <x:c r="N78" s="11"/>
      <x:c r="V78" s="1"/>
    </x:row>
    <x:row r="79" spans="1:22" s="2" customFormat="1" ht="20.100000000000001" customHeight="1">
      <x:c r="A79" s="301" t="s">
        <x:v>149</x:v>
      </x:c>
      <x:c r="B79" s="3" t="s">
        <x:v>294</x:v>
      </x:c>
      <x:c r="C79" s="3" t="s">
        <x:v>149</x:v>
      </x:c>
      <x:c r="D79" s="4"/>
      <x:c r="E79" s="4"/>
      <x:c r="F79" s="5">
        <x:f t="shared" ref="F79:F86" si="11">+D79+E79</x:f>
        <x:v>0</x:v>
      </x:c>
      <x:c r="G79" s="6"/>
      <x:c r="H79" s="301" t="s">
        <x:v>149</x:v>
      </x:c>
      <x:c r="I79" s="3" t="s">
        <x:v>248</x:v>
      </x:c>
      <x:c r="J79" s="3" t="s">
        <x:v>492</x:v>
      </x:c>
      <x:c r="K79" s="163">
        <x:v>660600</x:v>
      </x:c>
      <x:c r="L79" s="4"/>
      <x:c r="M79" s="5">
        <x:f>+K79+L79</x:f>
        <x:v>660600</x:v>
      </x:c>
      <x:c r="N79" s="6"/>
      <x:c r="V79" s="1"/>
    </x:row>
    <x:row r="80" spans="1:22" s="2" customFormat="1" ht="20.100000000000001" customHeight="1">
      <x:c r="A80" s="299"/>
      <x:c r="B80" s="3" t="s">
        <x:v>284</x:v>
      </x:c>
      <x:c r="C80" s="3" t="s">
        <x:v>149</x:v>
      </x:c>
      <x:c r="D80" s="163"/>
      <x:c r="E80" s="4"/>
      <x:c r="F80" s="5">
        <x:f t="shared" si="11"/>
        <x:v>0</x:v>
      </x:c>
      <x:c r="G80" s="6" t="s">
        <x:v>1520</x:v>
      </x:c>
      <x:c r="H80" s="299"/>
      <x:c r="I80" s="3" t="s">
        <x:v>284</x:v>
      </x:c>
      <x:c r="J80" s="3" t="s">
        <x:v>492</x:v>
      </x:c>
      <x:c r="K80" s="163">
        <x:v>605090</x:v>
      </x:c>
      <x:c r="L80" s="4"/>
      <x:c r="M80" s="5">
        <x:f t="shared" ref="M80:M91" si="12">+K80+L80</x:f>
        <x:v>605090</x:v>
      </x:c>
      <x:c r="N80" s="6"/>
      <x:c r="V80" s="1"/>
    </x:row>
    <x:row r="81" spans="1:22" s="2" customFormat="1" ht="20.100000000000001" customHeight="1">
      <x:c r="A81" s="299"/>
      <x:c r="B81" s="3" t="s">
        <x:v>1680</x:v>
      </x:c>
      <x:c r="C81" s="3" t="s">
        <x:v>914</x:v>
      </x:c>
      <x:c r="D81" s="163">
        <x:v>100000</x:v>
      </x:c>
      <x:c r="E81" s="4">
        <x:f t="shared" ref="E81:E86" si="13">+D81*0.1</x:f>
        <x:v>10000</x:v>
      </x:c>
      <x:c r="F81" s="5">
        <x:f t="shared" si="11"/>
        <x:v>110000</x:v>
      </x:c>
      <x:c r="G81" s="6"/>
      <x:c r="H81" s="299"/>
      <x:c r="I81" s="3" t="s">
        <x:v>249</x:v>
      </x:c>
      <x:c r="J81" s="3" t="s">
        <x:v>608</x:v>
      </x:c>
      <x:c r="K81" s="163">
        <x:v>550000</x:v>
      </x:c>
      <x:c r="L81" s="4"/>
      <x:c r="M81" s="5">
        <x:f t="shared" si="12"/>
        <x:v>550000</x:v>
      </x:c>
      <x:c r="N81" s="6"/>
      <x:c r="V81" s="1"/>
    </x:row>
    <x:row r="82" spans="1:22" s="2" customFormat="1" ht="20.100000000000001" customHeight="1">
      <x:c r="A82" s="299"/>
      <x:c r="B82" s="3" t="s">
        <x:v>883</x:v>
      </x:c>
      <x:c r="C82" s="3" t="s">
        <x:v>1417</x:v>
      </x:c>
      <x:c r="D82" s="163">
        <x:v>200000</x:v>
      </x:c>
      <x:c r="E82" s="4">
        <x:f t="shared" si="13"/>
        <x:v>20000</x:v>
      </x:c>
      <x:c r="F82" s="5">
        <x:f t="shared" si="11"/>
        <x:v>220000</x:v>
      </x:c>
      <x:c r="G82" s="6" t="s">
        <x:v>250</x:v>
      </x:c>
      <x:c r="H82" s="299"/>
      <x:c r="I82" s="3" t="s">
        <x:v>262</x:v>
      </x:c>
      <x:c r="J82" s="3" t="s">
        <x:v>530</x:v>
      </x:c>
      <x:c r="K82" s="163">
        <x:v>550000</x:v>
      </x:c>
      <x:c r="L82" s="4"/>
      <x:c r="M82" s="5">
        <x:f t="shared" si="12"/>
        <x:v>550000</x:v>
      </x:c>
      <x:c r="N82" s="6"/>
      <x:c r="V82" s="1"/>
    </x:row>
    <x:row r="83" spans="1:22" s="2" customFormat="1" ht="20.100000000000001" customHeight="1">
      <x:c r="A83" s="299"/>
      <x:c r="B83" s="3" t="s">
        <x:v>247</x:v>
      </x:c>
      <x:c r="C83" s="3" t="s">
        <x:v>231</x:v>
      </x:c>
      <x:c r="D83" s="163">
        <x:v>21000</x:v>
      </x:c>
      <x:c r="E83" s="4">
        <x:f t="shared" si="13"/>
        <x:v>2100</x:v>
      </x:c>
      <x:c r="F83" s="5">
        <x:f t="shared" si="11"/>
        <x:v>23100</x:v>
      </x:c>
      <x:c r="G83" s="6"/>
      <x:c r="H83" s="299"/>
      <x:c r="I83" s="3" t="s">
        <x:v>289</x:v>
      </x:c>
      <x:c r="J83" s="3" t="s">
        <x:v>608</x:v>
      </x:c>
      <x:c r="K83" s="163">
        <x:v>580000</x:v>
      </x:c>
      <x:c r="L83" s="4"/>
      <x:c r="M83" s="5">
        <x:f t="shared" si="12"/>
        <x:v>580000</x:v>
      </x:c>
      <x:c r="N83" s="6"/>
      <x:c r="V83" s="1"/>
    </x:row>
    <x:row r="84" spans="1:22" s="2" customFormat="1" ht="20.100000000000001" customHeight="1">
      <x:c r="A84" s="299"/>
      <x:c r="B84" s="3" t="s">
        <x:v>1442</x:v>
      </x:c>
      <x:c r="C84" s="3" t="s">
        <x:v>167</x:v>
      </x:c>
      <x:c r="D84" s="163">
        <x:v>200000</x:v>
      </x:c>
      <x:c r="E84" s="4">
        <x:f t="shared" si="13"/>
        <x:v>20000</x:v>
      </x:c>
      <x:c r="F84" s="5">
        <x:f t="shared" si="11"/>
        <x:v>220000</x:v>
      </x:c>
      <x:c r="G84" s="6"/>
      <x:c r="H84" s="299"/>
      <x:c r="I84" s="3" t="s">
        <x:v>947</x:v>
      </x:c>
      <x:c r="J84" s="3" t="s">
        <x:v>914</x:v>
      </x:c>
      <x:c r="K84" s="163">
        <x:v>100000</x:v>
      </x:c>
      <x:c r="L84" s="4">
        <x:f>+K84*0.1</x:f>
        <x:v>10000</x:v>
      </x:c>
      <x:c r="M84" s="5">
        <x:f t="shared" si="12"/>
        <x:v>110000</x:v>
      </x:c>
      <x:c r="N84" s="6"/>
      <x:c r="V84" s="1"/>
    </x:row>
    <x:row r="85" spans="1:22" s="2" customFormat="1" ht="20.100000000000001" customHeight="1">
      <x:c r="A85" s="299"/>
      <x:c r="B85" s="3" t="s">
        <x:v>1555</x:v>
      </x:c>
      <x:c r="C85" s="3" t="s">
        <x:v>1598</x:v>
      </x:c>
      <x:c r="D85" s="163">
        <x:v>1128000</x:v>
      </x:c>
      <x:c r="E85" s="4">
        <x:f t="shared" si="13"/>
        <x:v>112800</x:v>
      </x:c>
      <x:c r="F85" s="5">
        <x:f t="shared" si="11"/>
        <x:v>1240800</x:v>
      </x:c>
      <x:c r="G85" s="6" t="s">
        <x:v>1520</x:v>
      </x:c>
      <x:c r="H85" s="299"/>
      <x:c r="I85" s="3" t="s">
        <x:v>883</x:v>
      </x:c>
      <x:c r="J85" s="3" t="s">
        <x:v>1417</x:v>
      </x:c>
      <x:c r="K85" s="163"/>
      <x:c r="L85" s="4"/>
      <x:c r="M85" s="5">
        <x:f t="shared" si="12"/>
        <x:v>0</x:v>
      </x:c>
      <x:c r="N85" s="6" t="s">
        <x:v>1489</x:v>
      </x:c>
      <x:c r="V85" s="1"/>
    </x:row>
    <x:row r="86" spans="1:22" s="2" customFormat="1" ht="20.100000000000001" customHeight="1">
      <x:c r="A86" s="299"/>
      <x:c r="B86" s="3" t="s">
        <x:v>1582</x:v>
      </x:c>
      <x:c r="C86" s="3" t="s">
        <x:v>290</x:v>
      </x:c>
      <x:c r="D86" s="4">
        <x:v>1050000</x:v>
      </x:c>
      <x:c r="E86" s="4">
        <x:f t="shared" si="13"/>
        <x:v>105000</x:v>
      </x:c>
      <x:c r="F86" s="5">
        <x:f t="shared" si="11"/>
        <x:v>1155000</x:v>
      </x:c>
      <x:c r="G86" s="6" t="s">
        <x:v>1520</x:v>
      </x:c>
      <x:c r="H86" s="299"/>
      <x:c r="I86" s="3" t="s">
        <x:v>1340</x:v>
      </x:c>
      <x:c r="J86" s="3" t="s">
        <x:v>28</x:v>
      </x:c>
      <x:c r="K86" s="163">
        <x:v>1534000</x:v>
      </x:c>
      <x:c r="L86" s="4">
        <x:f>+K86*0.1</x:f>
        <x:v>153400</x:v>
      </x:c>
      <x:c r="M86" s="5">
        <x:f t="shared" si="12"/>
        <x:v>1687400</x:v>
      </x:c>
      <x:c r="N86" s="6"/>
      <x:c r="V86" s="1"/>
    </x:row>
    <x:row r="87" spans="1:22" s="2" customFormat="1" ht="20.100000000000001" customHeight="1">
      <x:c r="A87" s="299"/>
      <x:c r="B87" s="3" t="s">
        <x:v>313</x:v>
      </x:c>
      <x:c r="C87" s="3" t="s">
        <x:v>301</x:v>
      </x:c>
      <x:c r="D87" s="4"/>
      <x:c r="E87" s="4"/>
      <x:c r="F87" s="5">
        <x:f>+D87+E87</x:f>
        <x:v>0</x:v>
      </x:c>
      <x:c r="G87" s="6" t="s">
        <x:v>1520</x:v>
      </x:c>
      <x:c r="H87" s="299"/>
      <x:c r="I87" s="3" t="s">
        <x:v>1513</x:v>
      </x:c>
      <x:c r="J87" s="3" t="s">
        <x:v>825</x:v>
      </x:c>
      <x:c r="K87" s="163">
        <x:v>896000</x:v>
      </x:c>
      <x:c r="L87" s="4">
        <x:f>+K87*0.1</x:f>
        <x:v>89600</x:v>
      </x:c>
      <x:c r="M87" s="5">
        <x:f t="shared" si="12"/>
        <x:v>985600</x:v>
      </x:c>
      <x:c r="N87" s="6" t="s">
        <x:v>1546</x:v>
      </x:c>
      <x:c r="V87" s="1"/>
    </x:row>
    <x:row r="88" spans="1:22" s="2" customFormat="1" ht="20.100000000000001" customHeight="1">
      <x:c r="A88" s="299"/>
      <x:c r="B88" s="3"/>
      <x:c r="C88" s="3"/>
      <x:c r="D88" s="4"/>
      <x:c r="E88" s="4"/>
      <x:c r="F88" s="5">
        <x:f>+D88+E88</x:f>
        <x:v>0</x:v>
      </x:c>
      <x:c r="G88" s="6"/>
      <x:c r="H88" s="299"/>
      <x:c r="I88" s="3" t="s">
        <x:v>247</x:v>
      </x:c>
      <x:c r="J88" s="3" t="s">
        <x:v>231</x:v>
      </x:c>
      <x:c r="K88" s="163">
        <x:f>21000+4800</x:f>
        <x:v>25800</x:v>
      </x:c>
      <x:c r="L88" s="4">
        <x:f>+K88*0.1</x:f>
        <x:v>2580</x:v>
      </x:c>
      <x:c r="M88" s="5">
        <x:f t="shared" si="12"/>
        <x:v>28380</x:v>
      </x:c>
      <x:c r="N88" s="6" t="s">
        <x:v>1451</x:v>
      </x:c>
      <x:c r="V88" s="1"/>
    </x:row>
    <x:row r="89" spans="1:22" s="2" customFormat="1" ht="20.100000000000001" customHeight="1">
      <x:c r="A89" s="299"/>
      <x:c r="B89" s="3"/>
      <x:c r="C89" s="3"/>
      <x:c r="D89" s="4"/>
      <x:c r="E89" s="4"/>
      <x:c r="F89" s="5">
        <x:f>+D89+E89</x:f>
        <x:v>0</x:v>
      </x:c>
      <x:c r="G89" s="6"/>
      <x:c r="H89" s="299"/>
      <x:c r="I89" s="3" t="s">
        <x:v>926</x:v>
      </x:c>
      <x:c r="J89" s="3" t="s">
        <x:v>404</x:v>
      </x:c>
      <x:c r="K89" s="163">
        <x:v>385340</x:v>
      </x:c>
      <x:c r="L89" s="4"/>
      <x:c r="M89" s="5">
        <x:f t="shared" si="12"/>
        <x:v>385340</x:v>
      </x:c>
      <x:c r="N89" s="6"/>
      <x:c r="V89" s="1"/>
    </x:row>
    <x:row r="90" spans="1:22" s="2" customFormat="1" ht="20.100000000000001" customHeight="1">
      <x:c r="A90" s="299"/>
      <x:c r="B90" s="3"/>
      <x:c r="C90" s="3"/>
      <x:c r="D90" s="4"/>
      <x:c r="E90" s="4"/>
      <x:c r="F90" s="5">
        <x:f>+D90+E90</x:f>
        <x:v>0</x:v>
      </x:c>
      <x:c r="G90" s="6"/>
      <x:c r="H90" s="299"/>
      <x:c r="I90" s="3" t="s">
        <x:v>1429</x:v>
      </x:c>
      <x:c r="J90" s="3" t="s">
        <x:v>167</x:v>
      </x:c>
      <x:c r="K90" s="163"/>
      <x:c r="L90" s="4"/>
      <x:c r="M90" s="5"/>
      <x:c r="N90" s="6"/>
      <x:c r="V90" s="1"/>
    </x:row>
    <x:row r="91" spans="1:22" s="2" customFormat="1" ht="20.100000000000001" customHeight="1">
      <x:c r="A91" s="299"/>
      <x:c r="B91" s="3"/>
      <x:c r="C91" s="3"/>
      <x:c r="D91" s="4"/>
      <x:c r="E91" s="4"/>
      <x:c r="F91" s="5">
        <x:f>+D91+E91</x:f>
        <x:v>0</x:v>
      </x:c>
      <x:c r="G91" s="6"/>
      <x:c r="H91" s="299"/>
      <x:c r="I91" s="3"/>
      <x:c r="J91" s="3"/>
      <x:c r="K91" s="163"/>
      <x:c r="L91" s="4"/>
      <x:c r="M91" s="5">
        <x:f t="shared" si="12"/>
        <x:v>0</x:v>
      </x:c>
      <x:c r="N91" s="6"/>
      <x:c r="V91" s="1"/>
    </x:row>
    <x:row r="92" spans="1:22" s="2" customFormat="1" ht="20.100000000000001" customHeight="1">
      <x:c r="A92" s="7"/>
      <x:c r="B92" s="8"/>
      <x:c r="C92" s="8"/>
      <x:c r="D92" s="9">
        <x:f>SUM(D79:D91)</x:f>
        <x:v>2699000</x:v>
      </x:c>
      <x:c r="E92" s="9">
        <x:f>SUM(E79:E91)</x:f>
        <x:v>269900</x:v>
      </x:c>
      <x:c r="F92" s="10">
        <x:f>SUM(F79:F91)</x:f>
        <x:v>2968900</x:v>
      </x:c>
      <x:c r="G92" s="11"/>
      <x:c r="H92" s="7" t="s">
        <x:v>155</x:v>
      </x:c>
      <x:c r="I92" s="8"/>
      <x:c r="J92" s="8"/>
      <x:c r="K92" s="9">
        <x:f>SUM(K79:K91)</x:f>
        <x:v>5886830</x:v>
      </x:c>
      <x:c r="L92" s="9">
        <x:f>SUM(L79:L91)</x:f>
        <x:v>255580</x:v>
      </x:c>
      <x:c r="M92" s="10">
        <x:f>SUM(M79:M91)</x:f>
        <x:v>6142410</x:v>
      </x:c>
      <x:c r="N92" s="11"/>
      <x:c r="V92" s="1"/>
    </x:row>
    <x:row r="93" spans="1:22" s="2" customFormat="1" ht="20.100000000000001" customHeight="1">
      <x:c r="A93" s="12" t="s">
        <x:v>1690</x:v>
      </x:c>
      <x:c r="B93" s="13"/>
      <x:c r="C93" s="13"/>
      <x:c r="D93" s="14">
        <x:f>+D66+D71+D78+D92</x:f>
        <x:v>154834238</x:v>
      </x:c>
      <x:c r="E93" s="14">
        <x:f>+E66+E71+E78+E92</x:f>
        <x:v>5014582.7999999998</x:v>
      </x:c>
      <x:c r="F93" s="15">
        <x:f>+F66+F71+F78+F92</x:f>
        <x:v>159848820.80000001</x:v>
      </x:c>
      <x:c r="G93" s="16"/>
      <x:c r="H93" s="12" t="s">
        <x:v>1690</x:v>
      </x:c>
      <x:c r="I93" s="13"/>
      <x:c r="J93" s="13"/>
      <x:c r="K93" s="14">
        <x:f>+K66+K71+K78+K92</x:f>
        <x:v>117452730</x:v>
      </x:c>
      <x:c r="L93" s="14">
        <x:f>+L66+L71+L78+L92</x:f>
        <x:v>5843170</x:v>
      </x:c>
      <x:c r="M93" s="15">
        <x:f>+M66+M71+M78+M92</x:f>
        <x:v>123295900</x:v>
      </x:c>
      <x:c r="N93" s="16"/>
      <x:c r="V93" s="1"/>
    </x:row>
    <x:row r="94" spans="1:22" s="2" customFormat="1" ht="20.100000000000001" customHeight="1">
      <x:c r="A94" s="23" t="s">
        <x:v>35</x:v>
      </x:c>
      <x:c r="B94" s="24"/>
      <x:c r="C94" s="24"/>
      <x:c r="D94" s="25">
        <x:f>+D48-D93</x:f>
        <x:v>330965762</x:v>
      </x:c>
      <x:c r="E94" s="25">
        <x:f>+E48-E93</x:f>
        <x:v>43565417.200000003</x:v>
      </x:c>
      <x:c r="F94" s="26">
        <x:f>+F48-F93</x:f>
        <x:v>374531179.19999999</x:v>
      </x:c>
      <x:c r="G94" s="27"/>
      <x:c r="H94" s="23" t="s">
        <x:v>35</x:v>
      </x:c>
      <x:c r="I94" s="24"/>
      <x:c r="J94" s="24"/>
      <x:c r="K94" s="25">
        <x:f>+K48-K93</x:f>
        <x:v>21347270</x:v>
      </x:c>
      <x:c r="L94" s="25">
        <x:f>+L48-L93</x:f>
        <x:v>8036830</x:v>
      </x:c>
      <x:c r="M94" s="26">
        <x:f>+M48-M93</x:f>
        <x:v>29384100</x:v>
      </x:c>
      <x:c r="N94" s="27"/>
      <x:c r="V94" s="1"/>
    </x:row>
    <x:row r="95" spans="1:22" s="2" customFormat="1" ht="20.100000000000001" customHeight="1">
      <x:c r="A95" s="302" t="s">
        <x:v>415</x:v>
      </x:c>
      <x:c r="B95" s="303"/>
      <x:c r="C95" s="303"/>
      <x:c r="D95" s="303"/>
      <x:c r="E95" s="303"/>
      <x:c r="F95" s="304"/>
      <x:c r="G95" s="305"/>
      <x:c r="H95" s="302" t="s">
        <x:v>466</x:v>
      </x:c>
      <x:c r="I95" s="303"/>
      <x:c r="J95" s="303"/>
      <x:c r="K95" s="303"/>
      <x:c r="L95" s="303"/>
      <x:c r="M95" s="304"/>
      <x:c r="N95" s="305"/>
      <x:c r="V95" s="1"/>
    </x:row>
    <x:row r="96" spans="1:22" s="2" customFormat="1" ht="20.100000000000001" customHeight="1">
      <x:c r="A96" s="29" t="s">
        <x:v>147</x:v>
      </x:c>
      <x:c r="B96" s="232" t="s">
        <x:v>144</x:v>
      </x:c>
      <x:c r="C96" s="232" t="s">
        <x:v>150</x:v>
      </x:c>
      <x:c r="D96" s="31" t="s">
        <x:v>145</x:v>
      </x:c>
      <x:c r="E96" s="31" t="s">
        <x:v>152</x:v>
      </x:c>
      <x:c r="F96" s="31" t="s">
        <x:v>146</x:v>
      </x:c>
      <x:c r="G96" s="34" t="s">
        <x:v>154</x:v>
      </x:c>
      <x:c r="H96" s="29" t="s">
        <x:v>147</x:v>
      </x:c>
      <x:c r="I96" s="232" t="s">
        <x:v>144</x:v>
      </x:c>
      <x:c r="J96" s="232" t="s">
        <x:v>150</x:v>
      </x:c>
      <x:c r="K96" s="31" t="s">
        <x:v>145</x:v>
      </x:c>
      <x:c r="L96" s="31" t="s">
        <x:v>152</x:v>
      </x:c>
      <x:c r="M96" s="32" t="s">
        <x:v>146</x:v>
      </x:c>
      <x:c r="N96" s="33" t="s">
        <x:v>154</x:v>
      </x:c>
      <x:c r="V96" s="1"/>
    </x:row>
    <x:row r="97" spans="1:22" s="2" customFormat="1" ht="20.100000000000001" customHeight="1">
      <x:c r="A97" s="41" t="s">
        <x:v>151</x:v>
      </x:c>
      <x:c r="B97" s="38" t="s">
        <x:v>1679</x:v>
      </x:c>
      <x:c r="C97" s="38" t="s">
        <x:v>791</x:v>
      </x:c>
      <x:c r="D97" s="39"/>
      <x:c r="E97" s="39">
        <x:f>+D97*0.1</x:f>
        <x:v>0</x:v>
      </x:c>
      <x:c r="F97" s="40">
        <x:f>+D97+E97</x:f>
        <x:v>0</x:v>
      </x:c>
      <x:c r="G97" s="42"/>
      <x:c r="H97" s="231" t="s">
        <x:v>151</x:v>
      </x:c>
      <x:c r="I97" s="38" t="s">
        <x:v>1679</x:v>
      </x:c>
      <x:c r="J97" s="38" t="s">
        <x:v>791</x:v>
      </x:c>
      <x:c r="K97" s="39">
        <x:f>154000000+K98+K102</x:f>
        <x:v>179790540</x:v>
      </x:c>
      <x:c r="L97" s="39">
        <x:f>154000000*0.1</x:f>
        <x:v>15400000</x:v>
      </x:c>
      <x:c r="M97" s="40">
        <x:f t="shared" ref="M97:M115" si="14">+K97+L97</x:f>
        <x:v>195190540</x:v>
      </x:c>
      <x:c r="N97" s="18" t="s">
        <x:v>1473</x:v>
      </x:c>
      <x:c r="V97" s="1"/>
    </x:row>
    <x:row r="98" spans="1:22" s="2" customFormat="1" ht="20.100000000000001" customHeight="1">
      <x:c r="A98" s="298" t="s">
        <x:v>148</x:v>
      </x:c>
      <x:c r="B98" s="19" t="s">
        <x:v>867</x:v>
      </x:c>
      <x:c r="C98" s="54"/>
      <x:c r="D98" s="225"/>
      <x:c r="E98" s="20"/>
      <x:c r="F98" s="21">
        <x:f t="shared" ref="F98:F104" si="15">+D98+E98</x:f>
        <x:v>0</x:v>
      </x:c>
      <x:c r="G98" s="22"/>
      <x:c r="H98" s="298" t="s">
        <x:v>148</x:v>
      </x:c>
      <x:c r="I98" s="54" t="s">
        <x:v>867</x:v>
      </x:c>
      <x:c r="J98" s="54" t="s">
        <x:v>374</x:v>
      </x:c>
      <x:c r="K98" s="226">
        <x:v>7314540</x:v>
      </x:c>
      <x:c r="L98" s="93">
        <x:f t="shared" ref="L98:L103" si="16">+K98*0.1</x:f>
        <x:v>731454</x:v>
      </x:c>
      <x:c r="M98" s="94">
        <x:f t="shared" si="14"/>
        <x:v>8045994</x:v>
      </x:c>
      <x:c r="N98" s="22" t="s">
        <x:v>532</x:v>
      </x:c>
      <x:c r="V98" s="1"/>
    </x:row>
    <x:row r="99" spans="1:22" s="2" customFormat="1" ht="20.100000000000001" customHeight="1">
      <x:c r="A99" s="299"/>
      <x:c r="B99" s="3" t="s">
        <x:v>1315</x:v>
      </x:c>
      <x:c r="C99" s="3"/>
      <x:c r="D99" s="44"/>
      <x:c r="E99" s="4"/>
      <x:c r="F99" s="5">
        <x:f t="shared" si="15"/>
        <x:v>0</x:v>
      </x:c>
      <x:c r="G99" s="6"/>
      <x:c r="H99" s="299"/>
      <x:c r="I99" s="162" t="s">
        <x:v>867</x:v>
      </x:c>
      <x:c r="J99" s="162" t="s">
        <x:v>369</x:v>
      </x:c>
      <x:c r="K99" s="163"/>
      <x:c r="L99" s="163">
        <x:f t="shared" si="16"/>
        <x:v>0</x:v>
      </x:c>
      <x:c r="M99" s="164">
        <x:f t="shared" si="14"/>
        <x:v>0</x:v>
      </x:c>
      <x:c r="N99" s="158" t="s">
        <x:v>1611</x:v>
      </x:c>
      <x:c r="V99" s="1"/>
    </x:row>
    <x:row r="100" spans="1:22" s="2" customFormat="1" ht="20.100000000000001" customHeight="1">
      <x:c r="A100" s="299"/>
      <x:c r="B100" s="3" t="s">
        <x:v>846</x:v>
      </x:c>
      <x:c r="C100" s="3"/>
      <x:c r="D100" s="44"/>
      <x:c r="E100" s="4"/>
      <x:c r="F100" s="5">
        <x:f t="shared" si="15"/>
        <x:v>0</x:v>
      </x:c>
      <x:c r="G100" s="6"/>
      <x:c r="H100" s="299"/>
      <x:c r="I100" s="3" t="s">
        <x:v>902</x:v>
      </x:c>
      <x:c r="J100" s="3" t="s">
        <x:v>1179</x:v>
      </x:c>
      <x:c r="K100" s="163">
        <x:v>313400</x:v>
      </x:c>
      <x:c r="L100" s="4">
        <x:f t="shared" si="16"/>
        <x:v>31340</x:v>
      </x:c>
      <x:c r="M100" s="5">
        <x:f t="shared" si="14"/>
        <x:v>344740</x:v>
      </x:c>
      <x:c r="N100" s="6"/>
      <x:c r="V100" s="1"/>
    </x:row>
    <x:row r="101" spans="1:22" s="2" customFormat="1" ht="20.100000000000001" customHeight="1">
      <x:c r="A101" s="299"/>
      <x:c r="B101" s="3" t="s">
        <x:v>1553</x:v>
      </x:c>
      <x:c r="C101" s="3"/>
      <x:c r="D101" s="44"/>
      <x:c r="E101" s="4"/>
      <x:c r="F101" s="5">
        <x:f t="shared" si="15"/>
        <x:v>0</x:v>
      </x:c>
      <x:c r="G101" s="6"/>
      <x:c r="H101" s="299"/>
      <x:c r="I101" s="3" t="s">
        <x:v>938</x:v>
      </x:c>
      <x:c r="J101" s="3" t="s">
        <x:v>191</x:v>
      </x:c>
      <x:c r="K101" s="163">
        <x:v>1425000</x:v>
      </x:c>
      <x:c r="L101" s="4">
        <x:f t="shared" si="16"/>
        <x:v>142500</x:v>
      </x:c>
      <x:c r="M101" s="5">
        <x:f t="shared" si="14"/>
        <x:v>1567500</x:v>
      </x:c>
      <x:c r="N101" s="6"/>
      <x:c r="V101" s="1"/>
    </x:row>
    <x:row r="102" spans="1:22" s="2" customFormat="1" ht="20.100000000000001" customHeight="1">
      <x:c r="A102" s="299"/>
      <x:c r="B102" s="3" t="s">
        <x:v>838</x:v>
      </x:c>
      <x:c r="C102" s="3"/>
      <x:c r="D102" s="44"/>
      <x:c r="E102" s="4"/>
      <x:c r="F102" s="5">
        <x:f t="shared" si="15"/>
        <x:v>0</x:v>
      </x:c>
      <x:c r="G102" s="6"/>
      <x:c r="H102" s="299"/>
      <x:c r="I102" s="3" t="s">
        <x:v>483</x:v>
      </x:c>
      <x:c r="J102" s="3" t="s">
        <x:v>1207</x:v>
      </x:c>
      <x:c r="K102" s="163">
        <x:v>18476000</x:v>
      </x:c>
      <x:c r="L102" s="4">
        <x:f t="shared" si="16"/>
        <x:v>1847600</x:v>
      </x:c>
      <x:c r="M102" s="5">
        <x:f t="shared" si="14"/>
        <x:v>20323600</x:v>
      </x:c>
      <x:c r="N102" s="6" t="s">
        <x:v>532</x:v>
      </x:c>
      <x:c r="V102" s="1"/>
    </x:row>
    <x:row r="103" spans="1:22" s="2" customFormat="1" ht="20.100000000000001" customHeight="1">
      <x:c r="A103" s="299"/>
      <x:c r="B103" s="3" t="s">
        <x:v>1378</x:v>
      </x:c>
      <x:c r="C103" s="3" t="s">
        <x:v>1621</x:v>
      </x:c>
      <x:c r="D103" s="44">
        <x:v>25400</x:v>
      </x:c>
      <x:c r="E103" s="4">
        <x:f>+D103*0.1</x:f>
        <x:v>2540</x:v>
      </x:c>
      <x:c r="F103" s="5">
        <x:f t="shared" si="15"/>
        <x:v>27940</x:v>
      </x:c>
      <x:c r="G103" s="6"/>
      <x:c r="H103" s="299"/>
      <x:c r="I103" s="3" t="s">
        <x:v>483</x:v>
      </x:c>
      <x:c r="J103" s="162" t="s">
        <x:v>1320</x:v>
      </x:c>
      <x:c r="K103" s="163">
        <x:v>79400</x:v>
      </x:c>
      <x:c r="L103" s="163">
        <x:f t="shared" si="16"/>
        <x:v>7940</x:v>
      </x:c>
      <x:c r="M103" s="164">
        <x:f>+K103+L103</x:f>
        <x:v>87340</x:v>
      </x:c>
      <x:c r="N103" s="6"/>
      <x:c r="V103" s="1"/>
    </x:row>
    <x:row r="104" spans="1:22" s="2" customFormat="1" ht="20.100000000000001" customHeight="1">
      <x:c r="A104" s="299"/>
      <x:c r="B104" s="3" t="s">
        <x:v>1058</x:v>
      </x:c>
      <x:c r="C104" s="3" t="s">
        <x:v>387</x:v>
      </x:c>
      <x:c r="D104" s="44">
        <x:v>10791730</x:v>
      </x:c>
      <x:c r="E104" s="4">
        <x:f>+D104*0.1</x:f>
        <x:v>1079173</x:v>
      </x:c>
      <x:c r="F104" s="5">
        <x:f t="shared" si="15"/>
        <x:v>11870903</x:v>
      </x:c>
      <x:c r="G104" s="6" t="s">
        <x:v>1593</x:v>
      </x:c>
      <x:c r="H104" s="299"/>
      <x:c r="I104" s="162" t="s">
        <x:v>1348</x:v>
      </x:c>
      <x:c r="J104" s="162" t="s">
        <x:v>1586</x:v>
      </x:c>
      <x:c r="K104" s="163">
        <x:v>1738618</x:v>
      </x:c>
      <x:c r="L104" s="163">
        <x:f>+K104*0.1-1</x:f>
        <x:v>173860.80000000002</x:v>
      </x:c>
      <x:c r="M104" s="164">
        <x:f>+K104+L104</x:f>
        <x:v>1912478.8</x:v>
      </x:c>
      <x:c r="N104" s="6"/>
      <x:c r="V104" s="1"/>
    </x:row>
    <x:row r="105" spans="1:22" s="2" customFormat="1" ht="20.100000000000001" customHeight="1">
      <x:c r="A105" s="299"/>
      <x:c r="B105" s="3" t="s">
        <x:v>1348</x:v>
      </x:c>
      <x:c r="C105" s="3"/>
      <x:c r="D105" s="44"/>
      <x:c r="E105" s="4"/>
      <x:c r="F105" s="5">
        <x:f>+D105+E105</x:f>
        <x:v>0</x:v>
      </x:c>
      <x:c r="G105" s="6"/>
      <x:c r="H105" s="299"/>
      <x:c r="I105" s="3" t="s">
        <x:v>1315</x:v>
      </x:c>
      <x:c r="J105" s="3" t="s">
        <x:v>1711</x:v>
      </x:c>
      <x:c r="K105" s="163">
        <x:v>641486</x:v>
      </x:c>
      <x:c r="L105" s="4">
        <x:f>+K105*0.1-3</x:f>
        <x:v>64145.600000000006</x:v>
      </x:c>
      <x:c r="M105" s="5">
        <x:f t="shared" si="14"/>
        <x:v>705631.59999999998</x:v>
      </x:c>
      <x:c r="N105" s="6"/>
      <x:c r="V105" s="1"/>
    </x:row>
    <x:row r="106" spans="1:22" s="2" customFormat="1" ht="20.100000000000001" customHeight="1">
      <x:c r="A106" s="299"/>
      <x:c r="B106" s="3" t="s">
        <x:v>798</x:v>
      </x:c>
      <x:c r="C106" s="3"/>
      <x:c r="D106" s="44"/>
      <x:c r="E106" s="4"/>
      <x:c r="F106" s="5">
        <x:f t="shared" ref="F106:F118" si="17">+D106+E106</x:f>
        <x:v>0</x:v>
      </x:c>
      <x:c r="G106" s="6"/>
      <x:c r="H106" s="299"/>
      <x:c r="I106" s="3" t="s">
        <x:v>846</x:v>
      </x:c>
      <x:c r="J106" s="3" t="s">
        <x:v>1281</x:v>
      </x:c>
      <x:c r="K106" s="163">
        <x:v>358320</x:v>
      </x:c>
      <x:c r="L106" s="4">
        <x:f>+K106*0.1</x:f>
        <x:v>35832</x:v>
      </x:c>
      <x:c r="M106" s="5">
        <x:f t="shared" si="14"/>
        <x:v>394152</x:v>
      </x:c>
      <x:c r="N106" s="6"/>
      <x:c r="V106" s="1"/>
    </x:row>
    <x:row r="107" spans="1:22" s="2" customFormat="1" ht="20.100000000000001" customHeight="1">
      <x:c r="A107" s="299"/>
      <x:c r="B107" s="3" t="s">
        <x:v>228</x:v>
      </x:c>
      <x:c r="C107" s="3"/>
      <x:c r="D107" s="44"/>
      <x:c r="E107" s="4"/>
      <x:c r="F107" s="5">
        <x:f t="shared" si="17"/>
        <x:v>0</x:v>
      </x:c>
      <x:c r="G107" s="6"/>
      <x:c r="H107" s="299"/>
      <x:c r="I107" s="3" t="s">
        <x:v>762</x:v>
      </x:c>
      <x:c r="J107" s="3" t="s">
        <x:v>244</x:v>
      </x:c>
      <x:c r="K107" s="163"/>
      <x:c r="L107" s="4"/>
      <x:c r="M107" s="5">
        <x:f t="shared" si="14"/>
        <x:v>0</x:v>
      </x:c>
      <x:c r="N107" s="37" t="s">
        <x:v>1611</x:v>
      </x:c>
      <x:c r="V107" s="1"/>
    </x:row>
    <x:row r="108" spans="1:22" s="2" customFormat="1" ht="20.100000000000001" customHeight="1">
      <x:c r="A108" s="299"/>
      <x:c r="B108" s="3" t="s">
        <x:v>1567</x:v>
      </x:c>
      <x:c r="C108" s="3"/>
      <x:c r="D108" s="44"/>
      <x:c r="E108" s="4"/>
      <x:c r="F108" s="5">
        <x:f t="shared" si="17"/>
        <x:v>0</x:v>
      </x:c>
      <x:c r="G108" s="6"/>
      <x:c r="H108" s="299"/>
      <x:c r="I108" s="3" t="s">
        <x:v>1607</x:v>
      </x:c>
      <x:c r="J108" s="3" t="s">
        <x:v>1609</x:v>
      </x:c>
      <x:c r="K108" s="163"/>
      <x:c r="L108" s="4"/>
      <x:c r="M108" s="5">
        <x:f t="shared" si="14"/>
        <x:v>0</x:v>
      </x:c>
      <x:c r="N108" s="37" t="s">
        <x:v>1611</x:v>
      </x:c>
      <x:c r="V108" s="1"/>
    </x:row>
    <x:row r="109" spans="1:22" s="2" customFormat="1" ht="20.100000000000001" customHeight="1">
      <x:c r="A109" s="299"/>
      <x:c r="B109" s="3" t="s">
        <x:v>1477</x:v>
      </x:c>
      <x:c r="C109" s="3" t="s">
        <x:v>291</x:v>
      </x:c>
      <x:c r="D109" s="44">
        <x:v>470000</x:v>
      </x:c>
      <x:c r="E109" s="4">
        <x:f>+D109*0.1</x:f>
        <x:v>47000</x:v>
      </x:c>
      <x:c r="F109" s="5">
        <x:f t="shared" si="17"/>
        <x:v>517000</x:v>
      </x:c>
      <x:c r="G109" s="6"/>
      <x:c r="H109" s="299"/>
      <x:c r="I109" s="3" t="s">
        <x:v>1016</x:v>
      </x:c>
      <x:c r="J109" s="3" t="s">
        <x:v>1231</x:v>
      </x:c>
      <x:c r="K109" s="163">
        <x:v>3500000</x:v>
      </x:c>
      <x:c r="L109" s="4">
        <x:f>+K109*0.1</x:f>
        <x:v>350000</x:v>
      </x:c>
      <x:c r="M109" s="5">
        <x:f t="shared" ref="M109:M113" si="18">+K109+L109</x:f>
        <x:v>3850000</x:v>
      </x:c>
      <x:c r="N109" s="6"/>
      <x:c r="V109" s="1"/>
    </x:row>
    <x:row r="110" spans="1:22" s="2" customFormat="1" ht="20.100000000000001" customHeight="1">
      <x:c r="A110" s="299"/>
      <x:c r="B110" s="3" t="s">
        <x:v>483</x:v>
      </x:c>
      <x:c r="C110" s="3" t="s">
        <x:v>565</x:v>
      </x:c>
      <x:c r="D110" s="44">
        <x:v>859750</x:v>
      </x:c>
      <x:c r="E110" s="4">
        <x:f>+D110*0.1</x:f>
        <x:v>85975</x:v>
      </x:c>
      <x:c r="F110" s="5">
        <x:f t="shared" si="17"/>
        <x:v>945725</x:v>
      </x:c>
      <x:c r="G110" s="6"/>
      <x:c r="H110" s="299"/>
      <x:c r="I110" s="3" t="s">
        <x:v>1477</x:v>
      </x:c>
      <x:c r="J110" s="3" t="s">
        <x:v>1456</x:v>
      </x:c>
      <x:c r="K110" s="163"/>
      <x:c r="L110" s="4"/>
      <x:c r="M110" s="5">
        <x:f t="shared" si="18"/>
        <x:v>0</x:v>
      </x:c>
      <x:c r="N110" s="37" t="s">
        <x:v>1611</x:v>
      </x:c>
      <x:c r="V110" s="1"/>
    </x:row>
    <x:row r="111" spans="1:22" s="2" customFormat="1" ht="20.100000000000001" customHeight="1">
      <x:c r="A111" s="299"/>
      <x:c r="B111" s="3" t="s">
        <x:v>1319</x:v>
      </x:c>
      <x:c r="C111" s="3"/>
      <x:c r="D111" s="44"/>
      <x:c r="E111" s="4"/>
      <x:c r="F111" s="5">
        <x:f t="shared" si="17"/>
        <x:v>0</x:v>
      </x:c>
      <x:c r="G111" s="6"/>
      <x:c r="H111" s="299"/>
      <x:c r="I111" s="3" t="s">
        <x:v>1564</x:v>
      </x:c>
      <x:c r="J111" s="3" t="s">
        <x:v>1552</x:v>
      </x:c>
      <x:c r="K111" s="163">
        <x:v>50540</x:v>
      </x:c>
      <x:c r="L111" s="4">
        <x:f>+K111*0.1</x:f>
        <x:v>5054</x:v>
      </x:c>
      <x:c r="M111" s="5">
        <x:f t="shared" si="18"/>
        <x:v>55594</x:v>
      </x:c>
      <x:c r="N111" s="6"/>
      <x:c r="V111" s="1"/>
    </x:row>
    <x:row r="112" spans="1:22" s="2" customFormat="1" ht="20.100000000000001" customHeight="1">
      <x:c r="A112" s="299"/>
      <x:c r="B112" s="3" t="s">
        <x:v>854</x:v>
      </x:c>
      <x:c r="C112" s="3" t="s">
        <x:v>568</x:v>
      </x:c>
      <x:c r="D112" s="44">
        <x:v>17380</x:v>
      </x:c>
      <x:c r="E112" s="4">
        <x:f>+D112*0.1</x:f>
        <x:v>1738</x:v>
      </x:c>
      <x:c r="F112" s="5">
        <x:f t="shared" si="17"/>
        <x:v>19118</x:v>
      </x:c>
      <x:c r="G112" s="6"/>
      <x:c r="H112" s="299"/>
      <x:c r="I112" s="3" t="s">
        <x:v>228</x:v>
      </x:c>
      <x:c r="J112" s="3" t="s">
        <x:v>1112</x:v>
      </x:c>
      <x:c r="K112" s="163"/>
      <x:c r="L112" s="4"/>
      <x:c r="M112" s="5">
        <x:f t="shared" si="18"/>
        <x:v>0</x:v>
      </x:c>
      <x:c r="N112" s="37" t="s">
        <x:v>1611</x:v>
      </x:c>
      <x:c r="V112" s="1"/>
    </x:row>
    <x:row r="113" spans="1:22" s="2" customFormat="1" ht="20.100000000000001" customHeight="1">
      <x:c r="A113" s="299"/>
      <x:c r="B113" s="3" t="s">
        <x:v>774</x:v>
      </x:c>
      <x:c r="C113" s="3" t="s">
        <x:v>1233</x:v>
      </x:c>
      <x:c r="D113" s="44">
        <x:v>2100000</x:v>
      </x:c>
      <x:c r="E113" s="4">
        <x:f>+D113*0.1</x:f>
        <x:v>210000</x:v>
      </x:c>
      <x:c r="F113" s="5">
        <x:f t="shared" si="17"/>
        <x:v>2310000</x:v>
      </x:c>
      <x:c r="G113" s="6"/>
      <x:c r="H113" s="299"/>
      <x:c r="I113" s="3" t="s">
        <x:v>854</x:v>
      </x:c>
      <x:c r="J113" s="3" t="s">
        <x:v>1704</x:v>
      </x:c>
      <x:c r="K113" s="163">
        <x:v>7142980</x:v>
      </x:c>
      <x:c r="L113" s="4">
        <x:f t="shared" ref="L113:L118" si="19">+K113*0.1</x:f>
        <x:v>714298</x:v>
      </x:c>
      <x:c r="M113" s="5">
        <x:f t="shared" si="18"/>
        <x:v>7857278</x:v>
      </x:c>
      <x:c r="N113" s="6"/>
      <x:c r="V113" s="1"/>
    </x:row>
    <x:row r="114" spans="1:22" s="2" customFormat="1" ht="20.100000000000001" customHeight="1">
      <x:c r="A114" s="299"/>
      <x:c r="B114" s="3" t="s">
        <x:v>1033</x:v>
      </x:c>
      <x:c r="C114" s="3" t="s">
        <x:v>1628</x:v>
      </x:c>
      <x:c r="D114" s="44">
        <x:v>5604000</x:v>
      </x:c>
      <x:c r="E114" s="4">
        <x:f>+D114*0.1</x:f>
        <x:v>560400</x:v>
      </x:c>
      <x:c r="F114" s="5">
        <x:f t="shared" si="17"/>
        <x:v>6164400</x:v>
      </x:c>
      <x:c r="G114" s="6"/>
      <x:c r="H114" s="299"/>
      <x:c r="I114" s="3" t="s">
        <x:v>1102</x:v>
      </x:c>
      <x:c r="J114" s="3" t="s">
        <x:v>1215</x:v>
      </x:c>
      <x:c r="K114" s="163">
        <x:v>1600000</x:v>
      </x:c>
      <x:c r="L114" s="4">
        <x:f t="shared" si="19"/>
        <x:v>160000</x:v>
      </x:c>
      <x:c r="M114" s="5">
        <x:f t="shared" si="14"/>
        <x:v>1760000</x:v>
      </x:c>
      <x:c r="N114" s="6"/>
      <x:c r="V114" s="1"/>
    </x:row>
    <x:row r="115" spans="1:22" s="2" customFormat="1" ht="20.100000000000001" customHeight="1">
      <x:c r="A115" s="299"/>
      <x:c r="B115" s="3"/>
      <x:c r="C115" s="3"/>
      <x:c r="D115" s="44"/>
      <x:c r="E115" s="4"/>
      <x:c r="F115" s="5"/>
      <x:c r="G115" s="6"/>
      <x:c r="H115" s="299"/>
      <x:c r="I115" s="3" t="s">
        <x:v>1378</x:v>
      </x:c>
      <x:c r="J115" s="3" t="s">
        <x:v>1447</x:v>
      </x:c>
      <x:c r="K115" s="163">
        <x:v>724540</x:v>
      </x:c>
      <x:c r="L115" s="4">
        <x:f t="shared" si="19"/>
        <x:v>72454</x:v>
      </x:c>
      <x:c r="M115" s="5">
        <x:f t="shared" si="14"/>
        <x:v>796994</x:v>
      </x:c>
      <x:c r="N115" s="6"/>
      <x:c r="V115" s="1"/>
    </x:row>
    <x:row r="116" spans="1:22" s="2" customFormat="1" ht="20.100000000000001" customHeight="1">
      <x:c r="A116" s="299"/>
      <x:c r="B116" s="3"/>
      <x:c r="C116" s="3"/>
      <x:c r="D116" s="44"/>
      <x:c r="E116" s="4"/>
      <x:c r="F116" s="5">
        <x:f t="shared" si="17"/>
        <x:v>0</x:v>
      </x:c>
      <x:c r="G116" s="6"/>
      <x:c r="H116" s="299"/>
      <x:c r="I116" s="3" t="s">
        <x:v>774</x:v>
      </x:c>
      <x:c r="J116" s="3" t="s">
        <x:v>1233</x:v>
      </x:c>
      <x:c r="K116" s="163">
        <x:v>850000</x:v>
      </x:c>
      <x:c r="L116" s="4">
        <x:f t="shared" si="19"/>
        <x:v>85000</x:v>
      </x:c>
      <x:c r="M116" s="5">
        <x:f t="shared" ref="M116:M118" si="20">+K116+L116</x:f>
        <x:v>935000</x:v>
      </x:c>
      <x:c r="N116" s="6"/>
      <x:c r="V116" s="1"/>
    </x:row>
    <x:row r="117" spans="1:22" s="2" customFormat="1" ht="20.100000000000001" customHeight="1">
      <x:c r="A117" s="299"/>
      <x:c r="B117" s="3"/>
      <x:c r="C117" s="3"/>
      <x:c r="D117" s="44"/>
      <x:c r="E117" s="4"/>
      <x:c r="F117" s="5">
        <x:f t="shared" si="17"/>
        <x:v>0</x:v>
      </x:c>
      <x:c r="G117" s="6" t="s">
        <x:v>1589</x:v>
      </x:c>
      <x:c r="H117" s="299"/>
      <x:c r="I117" s="3" t="s">
        <x:v>1070</x:v>
      </x:c>
      <x:c r="J117" s="3" t="s">
        <x:v>1605</x:v>
      </x:c>
      <x:c r="K117" s="163">
        <x:v>710000</x:v>
      </x:c>
      <x:c r="L117" s="4">
        <x:f t="shared" si="19"/>
        <x:v>71000</x:v>
      </x:c>
      <x:c r="M117" s="5">
        <x:f t="shared" si="20"/>
        <x:v>781000</x:v>
      </x:c>
      <x:c r="N117" s="6"/>
      <x:c r="V117" s="1"/>
    </x:row>
    <x:row r="118" spans="1:22" s="2" customFormat="1" ht="20.100000000000001" customHeight="1">
      <x:c r="A118" s="299"/>
      <x:c r="B118" s="3"/>
      <x:c r="C118" s="3"/>
      <x:c r="D118" s="44"/>
      <x:c r="E118" s="4"/>
      <x:c r="F118" s="5">
        <x:f t="shared" si="17"/>
        <x:v>0</x:v>
      </x:c>
      <x:c r="G118" s="6" t="s">
        <x:v>1566</x:v>
      </x:c>
      <x:c r="H118" s="300"/>
      <x:c r="I118" s="3" t="s">
        <x:v>1601</x:v>
      </x:c>
      <x:c r="J118" s="3" t="s">
        <x:v>1602</x:v>
      </x:c>
      <x:c r="K118" s="163">
        <x:v>500000</x:v>
      </x:c>
      <x:c r="L118" s="4">
        <x:f t="shared" si="19"/>
        <x:v>50000</x:v>
      </x:c>
      <x:c r="M118" s="5">
        <x:f t="shared" si="20"/>
        <x:v>550000</x:v>
      </x:c>
      <x:c r="N118" s="6"/>
      <x:c r="V118" s="1"/>
    </x:row>
    <x:row r="119" spans="1:22" s="2" customFormat="1" ht="20.100000000000001" customHeight="1">
      <x:c r="A119" s="7"/>
      <x:c r="B119" s="8"/>
      <x:c r="C119" s="8"/>
      <x:c r="D119" s="9">
        <x:f>SUM(D98:D118)</x:f>
        <x:v>19868260</x:v>
      </x:c>
      <x:c r="E119" s="9">
        <x:f>SUM(E98:E118)</x:f>
        <x:v>1986826</x:v>
      </x:c>
      <x:c r="F119" s="10">
        <x:f>SUM(F98:F118)</x:f>
        <x:v>21855086</x:v>
      </x:c>
      <x:c r="G119" s="11"/>
      <x:c r="H119" s="7" t="s">
        <x:v>155</x:v>
      </x:c>
      <x:c r="I119" s="8"/>
      <x:c r="J119" s="8"/>
      <x:c r="K119" s="80">
        <x:f>SUM(K98:K118)</x:f>
        <x:v>45424824</x:v>
      </x:c>
      <x:c r="L119" s="9">
        <x:f>SUM(L98:L118)</x:f>
        <x:v>4542478.4000000004</x:v>
      </x:c>
      <x:c r="M119" s="10">
        <x:f>SUM(M98:M118)</x:f>
        <x:v>49967302.400000006</x:v>
      </x:c>
      <x:c r="N119" s="11"/>
      <x:c r="V119" s="1"/>
    </x:row>
    <x:row r="120" spans="1:22" s="2" customFormat="1" ht="20.100000000000001" customHeight="1">
      <x:c r="A120" s="301" t="s">
        <x:v>153</x:v>
      </x:c>
      <x:c r="B120" s="3" t="s">
        <x:v>1677</x:v>
      </x:c>
      <x:c r="C120" s="3" t="s">
        <x:v>1096</x:v>
      </x:c>
      <x:c r="D120" s="4">
        <x:v>11696000</x:v>
      </x:c>
      <x:c r="E120" s="4"/>
      <x:c r="F120" s="5">
        <x:f>+D120+E120</x:f>
        <x:v>11696000</x:v>
      </x:c>
      <x:c r="G120" s="6"/>
      <x:c r="H120" s="301" t="s">
        <x:v>153</x:v>
      </x:c>
      <x:c r="I120" s="3" t="s">
        <x:v>1677</x:v>
      </x:c>
      <x:c r="J120" s="3" t="s">
        <x:v>1383</x:v>
      </x:c>
      <x:c r="K120" s="163">
        <x:v>25320000</x:v>
      </x:c>
      <x:c r="L120" s="44"/>
      <x:c r="M120" s="45">
        <x:f>+K120+L120</x:f>
        <x:v>25320000</x:v>
      </x:c>
      <x:c r="N120" s="37"/>
      <x:c r="V120" s="1"/>
    </x:row>
    <x:row r="121" spans="1:22" s="2" customFormat="1" ht="20.100000000000001" customHeight="1">
      <x:c r="A121" s="299"/>
      <x:c r="B121" s="3" t="s">
        <x:v>1241</x:v>
      </x:c>
      <x:c r="C121" s="3" t="s">
        <x:v>523</x:v>
      </x:c>
      <x:c r="D121" s="4"/>
      <x:c r="E121" s="4"/>
      <x:c r="F121" s="5">
        <x:f>+D121+E121</x:f>
        <x:v>0</x:v>
      </x:c>
      <x:c r="G121" s="6"/>
      <x:c r="H121" s="299"/>
      <x:c r="I121" s="3" t="s">
        <x:v>1545</x:v>
      </x:c>
      <x:c r="J121" s="3"/>
      <x:c r="K121" s="163"/>
      <x:c r="L121" s="44"/>
      <x:c r="M121" s="45">
        <x:f>+K121+L121</x:f>
        <x:v>0</x:v>
      </x:c>
      <x:c r="N121" s="37" t="s">
        <x:v>532</x:v>
      </x:c>
      <x:c r="V121" s="1"/>
    </x:row>
    <x:row r="122" spans="1:22" s="2" customFormat="1" ht="20.100000000000001" customHeight="1">
      <x:c r="A122" s="299"/>
      <x:c r="B122" s="3"/>
      <x:c r="C122" s="3"/>
      <x:c r="D122" s="4"/>
      <x:c r="E122" s="4"/>
      <x:c r="F122" s="5">
        <x:f>+D122+E122</x:f>
        <x:v>0</x:v>
      </x:c>
      <x:c r="G122" s="6"/>
      <x:c r="H122" s="299"/>
      <x:c r="I122" s="3" t="s">
        <x:v>1241</x:v>
      </x:c>
      <x:c r="J122" s="3" t="s">
        <x:v>1559</x:v>
      </x:c>
      <x:c r="K122" s="163">
        <x:v>7000000</x:v>
      </x:c>
      <x:c r="L122" s="4"/>
      <x:c r="M122" s="5">
        <x:f>+K122+L122</x:f>
        <x:v>7000000</x:v>
      </x:c>
      <x:c r="N122" s="6"/>
      <x:c r="V122" s="1"/>
    </x:row>
    <x:row r="123" spans="1:22" s="2" customFormat="1" ht="20.100000000000001" customHeight="1">
      <x:c r="A123" s="300"/>
      <x:c r="B123" s="3"/>
      <x:c r="C123" s="3"/>
      <x:c r="D123" s="4"/>
      <x:c r="E123" s="4">
        <x:f>+D123*0.1</x:f>
        <x:v>0</x:v>
      </x:c>
      <x:c r="F123" s="5">
        <x:f>+D123+E123</x:f>
        <x:v>0</x:v>
      </x:c>
      <x:c r="G123" s="6"/>
      <x:c r="H123" s="300"/>
      <x:c r="I123" s="3"/>
      <x:c r="J123" s="3"/>
      <x:c r="K123" s="163"/>
      <x:c r="L123" s="4"/>
      <x:c r="M123" s="5">
        <x:f>+K123+L123</x:f>
        <x:v>0</x:v>
      </x:c>
      <x:c r="N123" s="6"/>
      <x:c r="V123" s="1"/>
    </x:row>
    <x:row r="124" spans="1:22" s="2" customFormat="1" ht="20.100000000000001" customHeight="1">
      <x:c r="A124" s="7"/>
      <x:c r="B124" s="8"/>
      <x:c r="C124" s="8"/>
      <x:c r="D124" s="9">
        <x:f>SUM(D120:D123)</x:f>
        <x:v>11696000</x:v>
      </x:c>
      <x:c r="E124" s="9">
        <x:f>SUM(E120:E123)</x:f>
        <x:v>0</x:v>
      </x:c>
      <x:c r="F124" s="10">
        <x:f>SUM(F120:F123)</x:f>
        <x:v>11696000</x:v>
      </x:c>
      <x:c r="G124" s="11"/>
      <x:c r="H124" s="7" t="s">
        <x:v>155</x:v>
      </x:c>
      <x:c r="I124" s="8"/>
      <x:c r="J124" s="8"/>
      <x:c r="K124" s="80">
        <x:f>SUM(K120:K123)</x:f>
        <x:v>32320000</x:v>
      </x:c>
      <x:c r="L124" s="9">
        <x:f>SUM(L120:L123)</x:f>
        <x:v>0</x:v>
      </x:c>
      <x:c r="M124" s="10">
        <x:f>SUM(M120:M123)</x:f>
        <x:v>32320000</x:v>
      </x:c>
      <x:c r="N124" s="11"/>
      <x:c r="V124" s="1"/>
    </x:row>
    <x:row r="125" spans="1:22" s="2" customFormat="1" ht="20.100000000000001" customHeight="1">
      <x:c r="A125" s="301" t="s">
        <x:v>187</x:v>
      </x:c>
      <x:c r="B125" s="3" t="s">
        <x:v>1124</x:v>
      </x:c>
      <x:c r="C125" s="3" t="s">
        <x:v>1006</x:v>
      </x:c>
      <x:c r="D125" s="44">
        <x:v>810000</x:v>
      </x:c>
      <x:c r="E125" s="4">
        <x:f>D125*0.1</x:f>
        <x:v>81000</x:v>
      </x:c>
      <x:c r="F125" s="5">
        <x:f>+D125+E125</x:f>
        <x:v>891000</x:v>
      </x:c>
      <x:c r="G125" s="6"/>
      <x:c r="H125" s="301" t="s">
        <x:v>187</x:v>
      </x:c>
      <x:c r="I125" s="3" t="s">
        <x:v>1568</x:v>
      </x:c>
      <x:c r="J125" s="3" t="s">
        <x:v>946</x:v>
      </x:c>
      <x:c r="K125" s="163"/>
      <x:c r="L125" s="4"/>
      <x:c r="M125" s="5">
        <x:f>+K125+L125</x:f>
        <x:v>0</x:v>
      </x:c>
      <x:c r="N125" s="6"/>
      <x:c r="V125" s="1"/>
    </x:row>
    <x:row r="126" spans="1:22" s="2" customFormat="1" ht="20.100000000000001" customHeight="1">
      <x:c r="A126" s="299"/>
      <x:c r="B126" s="3" t="s">
        <x:v>460</x:v>
      </x:c>
      <x:c r="C126" s="3" t="s">
        <x:v>1478</x:v>
      </x:c>
      <x:c r="D126" s="4"/>
      <x:c r="E126" s="4"/>
      <x:c r="F126" s="5">
        <x:f>+D126+E126</x:f>
        <x:v>0</x:v>
      </x:c>
      <x:c r="G126" s="6"/>
      <x:c r="H126" s="299"/>
      <x:c r="I126" s="3"/>
      <x:c r="J126" s="3"/>
      <x:c r="K126" s="163"/>
      <x:c r="L126" s="4"/>
      <x:c r="M126" s="5">
        <x:f>+K126+L126</x:f>
        <x:v>0</x:v>
      </x:c>
      <x:c r="N126" s="6"/>
      <x:c r="V126" s="1"/>
    </x:row>
    <x:row r="127" spans="1:22" s="2" customFormat="1" ht="20.100000000000001" customHeight="1">
      <x:c r="A127" s="299"/>
      <x:c r="B127" s="3" t="s">
        <x:v>461</x:v>
      </x:c>
      <x:c r="C127" s="3" t="s">
        <x:v>1478</x:v>
      </x:c>
      <x:c r="D127" s="4"/>
      <x:c r="E127" s="4"/>
      <x:c r="F127" s="5">
        <x:f>+D127+E127</x:f>
        <x:v>0</x:v>
      </x:c>
      <x:c r="G127" s="6"/>
      <x:c r="H127" s="299"/>
      <x:c r="I127" s="3"/>
      <x:c r="J127" s="3"/>
      <x:c r="K127" s="163"/>
      <x:c r="L127" s="4"/>
      <x:c r="M127" s="5">
        <x:f>+K127+L127</x:f>
        <x:v>0</x:v>
      </x:c>
      <x:c r="N127" s="6"/>
      <x:c r="V127" s="1"/>
    </x:row>
    <x:row r="128" spans="1:22" s="2" customFormat="1" ht="20.100000000000001" customHeight="1">
      <x:c r="A128" s="7"/>
      <x:c r="B128" s="8"/>
      <x:c r="C128" s="8"/>
      <x:c r="D128" s="9">
        <x:f>SUM(D125:D127)</x:f>
        <x:v>810000</x:v>
      </x:c>
      <x:c r="E128" s="9">
        <x:f>SUM(E125:E127)</x:f>
        <x:v>81000</x:v>
      </x:c>
      <x:c r="F128" s="10">
        <x:f>SUM(F125:F127)</x:f>
        <x:v>891000</x:v>
      </x:c>
      <x:c r="G128" s="11"/>
      <x:c r="H128" s="7" t="s">
        <x:v>155</x:v>
      </x:c>
      <x:c r="I128" s="8"/>
      <x:c r="J128" s="8"/>
      <x:c r="K128" s="80">
        <x:f>SUM(K125:K127)</x:f>
        <x:v>0</x:v>
      </x:c>
      <x:c r="L128" s="9">
        <x:f>SUM(L125:L127)</x:f>
        <x:v>0</x:v>
      </x:c>
      <x:c r="M128" s="10">
        <x:f>SUM(M125:M127)</x:f>
        <x:v>0</x:v>
      </x:c>
      <x:c r="N128" s="11"/>
      <x:c r="V128" s="1"/>
    </x:row>
    <x:row r="129" spans="1:22" s="2" customFormat="1" ht="20.100000000000001" customHeight="1">
      <x:c r="A129" s="301" t="s">
        <x:v>149</x:v>
      </x:c>
      <x:c r="B129" s="3" t="s">
        <x:v>177</x:v>
      </x:c>
      <x:c r="C129" s="3" t="s">
        <x:v>149</x:v>
      </x:c>
      <x:c r="D129" s="4">
        <x:v>378000</x:v>
      </x:c>
      <x:c r="E129" s="4"/>
      <x:c r="F129" s="5">
        <x:f t="shared" ref="F129:F135" si="21">+D129+E129</x:f>
        <x:v>378000</x:v>
      </x:c>
      <x:c r="G129" s="6"/>
      <x:c r="H129" s="301" t="s">
        <x:v>149</x:v>
      </x:c>
      <x:c r="I129" s="3" t="s">
        <x:v>177</x:v>
      </x:c>
      <x:c r="J129" s="3" t="s">
        <x:v>149</x:v>
      </x:c>
      <x:c r="K129" s="163">
        <x:v>1002514</x:v>
      </x:c>
      <x:c r="L129" s="4"/>
      <x:c r="M129" s="5">
        <x:f t="shared" ref="M129:M136" si="22">+K129+L129</x:f>
        <x:v>1002514</x:v>
      </x:c>
      <x:c r="N129" s="6"/>
      <x:c r="V129" s="1"/>
    </x:row>
    <x:row r="130" spans="1:22" s="2" customFormat="1" ht="20.100000000000001" customHeight="1">
      <x:c r="A130" s="299"/>
      <x:c r="B130" s="3" t="s">
        <x:v>601</x:v>
      </x:c>
      <x:c r="C130" s="3" t="s">
        <x:v>962</x:v>
      </x:c>
      <x:c r="D130" s="44">
        <x:v>234000</x:v>
      </x:c>
      <x:c r="E130" s="4">
        <x:f>+D130*0.1</x:f>
        <x:v>23400</x:v>
      </x:c>
      <x:c r="F130" s="5">
        <x:f t="shared" si="21"/>
        <x:v>257400</x:v>
      </x:c>
      <x:c r="G130" s="6"/>
      <x:c r="H130" s="299"/>
      <x:c r="I130" s="3" t="s">
        <x:v>1359</x:v>
      </x:c>
      <x:c r="J130" s="3" t="s">
        <x:v>1356</x:v>
      </x:c>
      <x:c r="K130" s="163">
        <x:v>960000</x:v>
      </x:c>
      <x:c r="L130" s="4">
        <x:f>+K130*0.1</x:f>
        <x:v>96000</x:v>
      </x:c>
      <x:c r="M130" s="5">
        <x:f t="shared" si="22"/>
        <x:v>1056000</x:v>
      </x:c>
      <x:c r="N130" s="6"/>
      <x:c r="V130" s="1"/>
    </x:row>
    <x:row r="131" spans="1:22" s="2" customFormat="1" ht="20.100000000000001" customHeight="1">
      <x:c r="A131" s="299"/>
      <x:c r="B131" s="3" t="s">
        <x:v>926</x:v>
      </x:c>
      <x:c r="C131" s="3" t="s">
        <x:v>409</x:v>
      </x:c>
      <x:c r="D131" s="44">
        <x:v>367870</x:v>
      </x:c>
      <x:c r="E131" s="4"/>
      <x:c r="F131" s="5">
        <x:f t="shared" si="21"/>
        <x:v>367870</x:v>
      </x:c>
      <x:c r="G131" s="6"/>
      <x:c r="H131" s="299"/>
      <x:c r="I131" s="3" t="s">
        <x:v>1542</x:v>
      </x:c>
      <x:c r="J131" s="3" t="s">
        <x:v>817</x:v>
      </x:c>
      <x:c r="K131" s="163">
        <x:v>400000</x:v>
      </x:c>
      <x:c r="L131" s="4">
        <x:f>+K131*0.1</x:f>
        <x:v>40000</x:v>
      </x:c>
      <x:c r="M131" s="5">
        <x:f t="shared" si="22"/>
        <x:v>440000</x:v>
      </x:c>
      <x:c r="N131" s="6"/>
      <x:c r="V131" s="1"/>
    </x:row>
    <x:row r="132" spans="1:22" s="2" customFormat="1" ht="20.100000000000001" customHeight="1">
      <x:c r="A132" s="299"/>
      <x:c r="B132" s="3" t="s">
        <x:v>947</x:v>
      </x:c>
      <x:c r="C132" s="3" t="s">
        <x:v>914</x:v>
      </x:c>
      <x:c r="D132" s="44">
        <x:v>50000</x:v>
      </x:c>
      <x:c r="E132" s="4">
        <x:f>+D132*0.1</x:f>
        <x:v>5000</x:v>
      </x:c>
      <x:c r="F132" s="5">
        <x:f t="shared" si="21"/>
        <x:v>55000</x:v>
      </x:c>
      <x:c r="G132" s="6"/>
      <x:c r="H132" s="299"/>
      <x:c r="I132" s="3" t="s">
        <x:v>1558</x:v>
      </x:c>
      <x:c r="J132" s="3" t="s">
        <x:v>817</x:v>
      </x:c>
      <x:c r="K132" s="163">
        <x:v>270000</x:v>
      </x:c>
      <x:c r="L132" s="4">
        <x:f>+K132*0.1</x:f>
        <x:v>27000</x:v>
      </x:c>
      <x:c r="M132" s="5">
        <x:f t="shared" si="22"/>
        <x:v>297000</x:v>
      </x:c>
      <x:c r="N132" s="6"/>
      <x:c r="V132" s="1"/>
    </x:row>
    <x:row r="133" spans="1:22" s="2" customFormat="1" ht="20.100000000000001" customHeight="1">
      <x:c r="A133" s="299"/>
      <x:c r="B133" s="3" t="s">
        <x:v>1327</x:v>
      </x:c>
      <x:c r="C133" s="3" t="s">
        <x:v>167</x:v>
      </x:c>
      <x:c r="D133" s="44"/>
      <x:c r="E133" s="4"/>
      <x:c r="F133" s="5">
        <x:f t="shared" si="21"/>
        <x:v>0</x:v>
      </x:c>
      <x:c r="G133" s="6"/>
      <x:c r="H133" s="299"/>
      <x:c r="I133" s="3"/>
      <x:c r="J133" s="3"/>
      <x:c r="K133" s="163"/>
      <x:c r="L133" s="4"/>
      <x:c r="M133" s="5">
        <x:f t="shared" si="22"/>
        <x:v>0</x:v>
      </x:c>
      <x:c r="N133" s="6"/>
      <x:c r="V133" s="1"/>
    </x:row>
    <x:row r="134" spans="1:22" s="2" customFormat="1" ht="20.100000000000001" customHeight="1">
      <x:c r="A134" s="299"/>
      <x:c r="B134" s="3" t="s">
        <x:v>247</x:v>
      </x:c>
      <x:c r="C134" s="3" t="s">
        <x:v>231</x:v>
      </x:c>
      <x:c r="D134" s="44">
        <x:v>20000</x:v>
      </x:c>
      <x:c r="E134" s="4">
        <x:f>+D134*0.1</x:f>
        <x:v>2000</x:v>
      </x:c>
      <x:c r="F134" s="5">
        <x:f t="shared" si="21"/>
        <x:v>22000</x:v>
      </x:c>
      <x:c r="G134" s="6"/>
      <x:c r="H134" s="299"/>
      <x:c r="I134" s="3"/>
      <x:c r="J134" s="3"/>
      <x:c r="K134" s="4"/>
      <x:c r="L134" s="4"/>
      <x:c r="M134" s="5">
        <x:f t="shared" si="22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1444</x:v>
      </x:c>
      <x:c r="C135" s="3" t="s">
        <x:v>817</x:v>
      </x:c>
      <x:c r="D135" s="44"/>
      <x:c r="E135" s="4"/>
      <x:c r="F135" s="5">
        <x:f t="shared" si="21"/>
        <x:v>0</x:v>
      </x:c>
      <x:c r="G135" s="6"/>
      <x:c r="H135" s="299"/>
      <x:c r="I135" s="3"/>
      <x:c r="J135" s="3"/>
      <x:c r="K135" s="4"/>
      <x:c r="L135" s="4"/>
      <x:c r="M135" s="5">
        <x:f t="shared" si="22"/>
        <x:v>0</x:v>
      </x:c>
      <x:c r="N135" s="6"/>
      <x:c r="V135" s="1"/>
    </x:row>
    <x:row r="136" spans="1:22" s="2" customFormat="1" ht="20.100000000000001" customHeight="1">
      <x:c r="A136" s="300"/>
      <x:c r="B136" s="3"/>
      <x:c r="C136" s="3"/>
      <x:c r="D136" s="4"/>
      <x:c r="E136" s="4"/>
      <x:c r="F136" s="5"/>
      <x:c r="G136" s="6"/>
      <x:c r="H136" s="300"/>
      <x:c r="I136" s="3"/>
      <x:c r="J136" s="3"/>
      <x:c r="K136" s="4"/>
      <x:c r="L136" s="4"/>
      <x:c r="M136" s="5">
        <x:f t="shared" si="22"/>
        <x:v>0</x:v>
      </x:c>
      <x:c r="N136" s="6"/>
      <x:c r="V136" s="1"/>
    </x:row>
    <x:row r="137" spans="1:22" s="2" customFormat="1" ht="20.100000000000001" customHeight="1">
      <x:c r="A137" s="7" t="s">
        <x:v>155</x:v>
      </x:c>
      <x:c r="B137" s="8"/>
      <x:c r="C137" s="8"/>
      <x:c r="D137" s="9">
        <x:f>SUM(D129:D136)</x:f>
        <x:v>1049870</x:v>
      </x:c>
      <x:c r="E137" s="9">
        <x:f>SUM(E129:E136)</x:f>
        <x:v>30400</x:v>
      </x:c>
      <x:c r="F137" s="10">
        <x:f>SUM(F129:F136)</x:f>
        <x:v>1080270</x:v>
      </x:c>
      <x:c r="G137" s="11"/>
      <x:c r="H137" s="7" t="s">
        <x:v>155</x:v>
      </x:c>
      <x:c r="I137" s="8"/>
      <x:c r="J137" s="8"/>
      <x:c r="K137" s="9">
        <x:f>SUM(K129:K136)</x:f>
        <x:v>2632514</x:v>
      </x:c>
      <x:c r="L137" s="9">
        <x:f>SUM(L129:L136)</x:f>
        <x:v>163000</x:v>
      </x:c>
      <x:c r="M137" s="10">
        <x:f>SUM(M129:M136)</x:f>
        <x:v>2795514</x:v>
      </x:c>
      <x:c r="N137" s="11"/>
      <x:c r="V137" s="1"/>
    </x:row>
    <x:row r="138" spans="1:22" s="2" customFormat="1" ht="20.100000000000001" customHeight="1">
      <x:c r="A138" s="12" t="s">
        <x:v>1690</x:v>
      </x:c>
      <x:c r="B138" s="13"/>
      <x:c r="C138" s="13"/>
      <x:c r="D138" s="14">
        <x:f>+D119+D124+D128+D137</x:f>
        <x:v>33424130</x:v>
      </x:c>
      <x:c r="E138" s="14">
        <x:f>+E119+E124+E128+E137</x:f>
        <x:v>2098226</x:v>
      </x:c>
      <x:c r="F138" s="15">
        <x:f>+F119+F124+F128+F137</x:f>
        <x:v>35522356</x:v>
      </x:c>
      <x:c r="G138" s="16"/>
      <x:c r="H138" s="12" t="s">
        <x:v>1690</x:v>
      </x:c>
      <x:c r="I138" s="13"/>
      <x:c r="J138" s="13"/>
      <x:c r="K138" s="14">
        <x:f>+K119+K124+K128+K137</x:f>
        <x:v>80377338</x:v>
      </x:c>
      <x:c r="L138" s="14">
        <x:f>+L119+L124+L128+L137</x:f>
        <x:v>4705478.4000000004</x:v>
      </x:c>
      <x:c r="M138" s="15">
        <x:f>+M119+M124+M128+M137</x:f>
        <x:v>85082816.400000006</x:v>
      </x:c>
      <x:c r="N138" s="16"/>
      <x:c r="V138" s="1"/>
    </x:row>
    <x:row r="139" spans="1:22" s="2" customFormat="1" ht="20.100000000000001" customHeight="1">
      <x:c r="A139" s="23" t="s">
        <x:v>35</x:v>
      </x:c>
      <x:c r="B139" s="24"/>
      <x:c r="C139" s="24"/>
      <x:c r="D139" s="25">
        <x:f>+D97-D138</x:f>
        <x:v>-33424130</x:v>
      </x:c>
      <x:c r="E139" s="25">
        <x:f>+E97-E138</x:f>
        <x:v>-2098226</x:v>
      </x:c>
      <x:c r="F139" s="26">
        <x:f>+F97-F138</x:f>
        <x:v>-35522356</x:v>
      </x:c>
      <x:c r="G139" s="27"/>
      <x:c r="H139" s="23" t="s">
        <x:v>35</x:v>
      </x:c>
      <x:c r="I139" s="24"/>
      <x:c r="J139" s="24"/>
      <x:c r="K139" s="25">
        <x:f>+K97-K138</x:f>
        <x:v>99413202</x:v>
      </x:c>
      <x:c r="L139" s="25">
        <x:f>+L97-L138</x:f>
        <x:v>10694521.6</x:v>
      </x:c>
      <x:c r="M139" s="26">
        <x:f>+M97-M138</x:f>
        <x:v>110107723.59999999</x:v>
      </x:c>
      <x:c r="N139" s="27"/>
      <x:c r="V139" s="1"/>
    </x:row>
    <x:row r="140" spans="1:22" s="2" customFormat="1" ht="20.100000000000001" customHeight="1">
      <x:c r="A140" s="302" t="s">
        <x:v>423</x:v>
      </x:c>
      <x:c r="B140" s="303"/>
      <x:c r="C140" s="303"/>
      <x:c r="D140" s="303"/>
      <x:c r="E140" s="303"/>
      <x:c r="F140" s="304"/>
      <x:c r="G140" s="305"/>
      <x:c r="H140" s="302" t="s">
        <x:v>494</x:v>
      </x:c>
      <x:c r="I140" s="303"/>
      <x:c r="J140" s="303"/>
      <x:c r="K140" s="303"/>
      <x:c r="L140" s="303"/>
      <x:c r="M140" s="304"/>
      <x:c r="N140" s="305"/>
      <x:c r="V140" s="1"/>
    </x:row>
    <x:row r="141" spans="1:22" s="2" customFormat="1" ht="20.100000000000001" customHeight="1">
      <x:c r="A141" s="29" t="s">
        <x:v>147</x:v>
      </x:c>
      <x:c r="B141" s="232" t="s">
        <x:v>144</x:v>
      </x:c>
      <x:c r="C141" s="232" t="s">
        <x:v>150</x:v>
      </x:c>
      <x:c r="D141" s="31" t="s">
        <x:v>145</x:v>
      </x:c>
      <x:c r="E141" s="31" t="s">
        <x:v>152</x:v>
      </x:c>
      <x:c r="F141" s="32" t="s">
        <x:v>146</x:v>
      </x:c>
      <x:c r="G141" s="33" t="s">
        <x:v>154</x:v>
      </x:c>
      <x:c r="H141" s="29" t="s">
        <x:v>147</x:v>
      </x:c>
      <x:c r="I141" s="232" t="s">
        <x:v>144</x:v>
      </x:c>
      <x:c r="J141" s="232" t="s">
        <x:v>150</x:v>
      </x:c>
      <x:c r="K141" s="31" t="s">
        <x:v>145</x:v>
      </x:c>
      <x:c r="L141" s="31" t="s">
        <x:v>152</x:v>
      </x:c>
      <x:c r="M141" s="31" t="s">
        <x:v>146</x:v>
      </x:c>
      <x:c r="N141" s="34" t="s">
        <x:v>154</x:v>
      </x:c>
      <x:c r="V141" s="1"/>
    </x:row>
    <x:row r="142" spans="1:22" s="2" customFormat="1" ht="20.100000000000001" customHeight="1">
      <x:c r="A142" s="231" t="s">
        <x:v>151</x:v>
      </x:c>
      <x:c r="B142" s="38" t="s">
        <x:v>1679</x:v>
      </x:c>
      <x:c r="C142" s="38" t="s">
        <x:v>156</x:v>
      </x:c>
      <x:c r="D142" s="39">
        <x:v>45060000</x:v>
      </x:c>
      <x:c r="E142" s="39">
        <x:f>+D142*0.1</x:f>
        <x:v>4506000</x:v>
      </x:c>
      <x:c r="F142" s="40">
        <x:f t="shared" ref="F142:F157" si="23">+D142+E142</x:f>
        <x:v>49566000</x:v>
      </x:c>
      <x:c r="G142" s="18"/>
      <x:c r="H142" s="41" t="s">
        <x:v>151</x:v>
      </x:c>
      <x:c r="I142" s="38" t="s">
        <x:v>1679</x:v>
      </x:c>
      <x:c r="J142" s="38" t="s">
        <x:v>1030</x:v>
      </x:c>
      <x:c r="K142" s="39"/>
      <x:c r="L142" s="39"/>
      <x:c r="M142" s="40">
        <x:f>+K142+L142</x:f>
        <x:v>0</x:v>
      </x:c>
      <x:c r="N142" s="42"/>
      <x:c r="V142" s="1"/>
    </x:row>
    <x:row r="143" spans="1:22" s="2" customFormat="1" ht="20.100000000000001" customHeight="1">
      <x:c r="A143" s="298" t="s">
        <x:v>148</x:v>
      </x:c>
      <x:c r="B143" s="54" t="s">
        <x:v>1329</x:v>
      </x:c>
      <x:c r="C143" s="54" t="s">
        <x:v>1112</x:v>
      </x:c>
      <x:c r="D143" s="93"/>
      <x:c r="E143" s="93"/>
      <x:c r="F143" s="94">
        <x:f t="shared" si="23"/>
        <x:v>0</x:v>
      </x:c>
      <x:c r="G143" s="95" t="s">
        <x:v>273</x:v>
      </x:c>
      <x:c r="H143" s="298" t="s">
        <x:v>148</x:v>
      </x:c>
      <x:c r="I143" s="19" t="s">
        <x:v>867</x:v>
      </x:c>
      <x:c r="J143" s="19" t="s">
        <x:v>1287</x:v>
      </x:c>
      <x:c r="K143" s="20">
        <x:v>17848325</x:v>
      </x:c>
      <x:c r="L143" s="20">
        <x:f>+K143*0.1-1</x:f>
        <x:v>1784831.5</x:v>
      </x:c>
      <x:c r="M143" s="21">
        <x:f t="shared" ref="M143:M158" si="24">+K143+L143</x:f>
        <x:v>19633156.5</x:v>
      </x:c>
      <x:c r="N143" s="22"/>
      <x:c r="V143" s="1"/>
    </x:row>
    <x:row r="144" spans="1:22" s="2" customFormat="1" ht="20.100000000000001" customHeight="1">
      <x:c r="A144" s="299"/>
      <x:c r="B144" s="162" t="s">
        <x:v>1358</x:v>
      </x:c>
      <x:c r="C144" s="162"/>
      <x:c r="D144" s="163"/>
      <x:c r="E144" s="4"/>
      <x:c r="F144" s="193">
        <x:f t="shared" si="23"/>
        <x:v>0</x:v>
      </x:c>
      <x:c r="G144" s="180" t="s">
        <x:v>258</x:v>
      </x:c>
      <x:c r="H144" s="299"/>
      <x:c r="I144" s="3" t="s">
        <x:v>1348</x:v>
      </x:c>
      <x:c r="J144" s="3" t="s">
        <x:v>1111</x:v>
      </x:c>
      <x:c r="K144" s="4">
        <x:v>152868</x:v>
      </x:c>
      <x:c r="L144" s="4">
        <x:f>+K144*0.1-1</x:f>
        <x:v>15285.800000000001</x:v>
      </x:c>
      <x:c r="M144" s="5">
        <x:f t="shared" si="24"/>
        <x:v>168153.79999999999</x:v>
      </x:c>
      <x:c r="N144" s="6"/>
      <x:c r="V144" s="1"/>
    </x:row>
    <x:row r="145" spans="1:22" s="2" customFormat="1" ht="20.100000000000001" customHeight="1">
      <x:c r="A145" s="299"/>
      <x:c r="B145" s="3" t="s">
        <x:v>1362</x:v>
      </x:c>
      <x:c r="C145" s="3"/>
      <x:c r="D145" s="4"/>
      <x:c r="E145" s="4"/>
      <x:c r="F145" s="194">
        <x:f t="shared" si="23"/>
        <x:v>0</x:v>
      </x:c>
      <x:c r="G145" s="180" t="s">
        <x:v>258</x:v>
      </x:c>
      <x:c r="H145" s="299"/>
      <x:c r="I145" s="3" t="s">
        <x:v>838</x:v>
      </x:c>
      <x:c r="J145" s="3" t="s">
        <x:v>1116</x:v>
      </x:c>
      <x:c r="K145" s="4">
        <x:v>4079888</x:v>
      </x:c>
      <x:c r="L145" s="4">
        <x:f>+K145*0.1-1</x:f>
        <x:v>407987.80000000005</x:v>
      </x:c>
      <x:c r="M145" s="5">
        <x:f t="shared" si="24"/>
        <x:v>4487875.7999999998</x:v>
      </x:c>
      <x:c r="N145" s="6"/>
      <x:c r="V145" s="1"/>
    </x:row>
    <x:row r="146" spans="1:22" s="2" customFormat="1" ht="20.100000000000001" customHeight="1">
      <x:c r="A146" s="299"/>
      <x:c r="B146" s="3" t="s">
        <x:v>1363</x:v>
      </x:c>
      <x:c r="C146" s="3"/>
      <x:c r="D146" s="4"/>
      <x:c r="E146" s="4"/>
      <x:c r="F146" s="194">
        <x:f t="shared" si="23"/>
        <x:v>0</x:v>
      </x:c>
      <x:c r="G146" s="180" t="s">
        <x:v>258</x:v>
      </x:c>
      <x:c r="H146" s="299"/>
      <x:c r="I146" s="3" t="s">
        <x:v>938</x:v>
      </x:c>
      <x:c r="J146" s="3"/>
      <x:c r="K146" s="4"/>
      <x:c r="L146" s="4"/>
      <x:c r="M146" s="5">
        <x:f t="shared" si="24"/>
        <x:v>0</x:v>
      </x:c>
      <x:c r="N146" s="6"/>
      <x:c r="V146" s="1"/>
    </x:row>
    <x:row r="147" spans="1:22" s="2" customFormat="1" ht="20.100000000000001" customHeight="1">
      <x:c r="A147" s="299"/>
      <x:c r="B147" s="3" t="s">
        <x:v>1372</x:v>
      </x:c>
      <x:c r="C147" s="3"/>
      <x:c r="D147" s="4"/>
      <x:c r="E147" s="4"/>
      <x:c r="F147" s="194">
        <x:f t="shared" si="23"/>
        <x:v>0</x:v>
      </x:c>
      <x:c r="G147" s="180" t="s">
        <x:v>258</x:v>
      </x:c>
      <x:c r="H147" s="299"/>
      <x:c r="I147" s="3" t="s">
        <x:v>976</x:v>
      </x:c>
      <x:c r="J147" s="3" t="s">
        <x:v>430</x:v>
      </x:c>
      <x:c r="K147" s="4"/>
      <x:c r="L147" s="4">
        <x:f>+K147*0.1</x:f>
        <x:v>0</x:v>
      </x:c>
      <x:c r="M147" s="5">
        <x:f t="shared" si="24"/>
        <x:v>0</x:v>
      </x:c>
      <x:c r="N147" s="37" t="s">
        <x:v>1611</x:v>
      </x:c>
      <x:c r="V147" s="1"/>
    </x:row>
    <x:row r="148" spans="1:22" s="2" customFormat="1" ht="20.100000000000001" customHeight="1">
      <x:c r="A148" s="299"/>
      <x:c r="B148" s="3" t="s">
        <x:v>1380</x:v>
      </x:c>
      <x:c r="C148" s="3" t="s">
        <x:v>1377</x:v>
      </x:c>
      <x:c r="D148" s="4">
        <x:v>23950000</x:v>
      </x:c>
      <x:c r="E148" s="4">
        <x:f>+INT(D148*0.1)</x:f>
        <x:v>2395000</x:v>
      </x:c>
      <x:c r="F148" s="194">
        <x:f t="shared" si="23"/>
        <x:v>26345000</x:v>
      </x:c>
      <x:c r="G148" s="180" t="s">
        <x:v>258</x:v>
      </x:c>
      <x:c r="H148" s="299"/>
      <x:c r="I148" s="3" t="s">
        <x:v>846</x:v>
      </x:c>
      <x:c r="J148" s="3" t="s">
        <x:v>1595</x:v>
      </x:c>
      <x:c r="K148" s="4">
        <x:v>2271750</x:v>
      </x:c>
      <x:c r="L148" s="4">
        <x:f>+K148*0.1</x:f>
        <x:v>227175</x:v>
      </x:c>
      <x:c r="M148" s="5">
        <x:f t="shared" si="24"/>
        <x:v>2498925</x:v>
      </x:c>
      <x:c r="N148" s="6"/>
      <x:c r="V148" s="1"/>
    </x:row>
    <x:row r="149" spans="1:22" s="2" customFormat="1" ht="20.100000000000001" customHeight="1">
      <x:c r="A149" s="299"/>
      <x:c r="B149" s="3" t="s">
        <x:v>938</x:v>
      </x:c>
      <x:c r="C149" s="3"/>
      <x:c r="D149" s="4"/>
      <x:c r="E149" s="4"/>
      <x:c r="F149" s="194">
        <x:f t="shared" si="23"/>
        <x:v>0</x:v>
      </x:c>
      <x:c r="G149" s="6" t="s">
        <x:v>273</x:v>
      </x:c>
      <x:c r="H149" s="299"/>
      <x:c r="I149" s="3" t="s">
        <x:v>1378</x:v>
      </x:c>
      <x:c r="J149" s="3"/>
      <x:c r="K149" s="4"/>
      <x:c r="L149" s="4"/>
      <x:c r="M149" s="5">
        <x:f t="shared" si="24"/>
        <x:v>0</x:v>
      </x:c>
      <x:c r="N149" s="6"/>
      <x:c r="V149" s="1"/>
    </x:row>
    <x:row r="150" spans="1:22" s="2" customFormat="1" ht="20.100000000000001" customHeight="1">
      <x:c r="A150" s="299"/>
      <x:c r="B150" s="3" t="s">
        <x:v>1418</x:v>
      </x:c>
      <x:c r="C150" s="3"/>
      <x:c r="D150" s="4"/>
      <x:c r="E150" s="4"/>
      <x:c r="F150" s="194">
        <x:f t="shared" si="23"/>
        <x:v>0</x:v>
      </x:c>
      <x:c r="G150" s="180" t="s">
        <x:v>258</x:v>
      </x:c>
      <x:c r="H150" s="299"/>
      <x:c r="I150" s="3" t="s">
        <x:v>1449</x:v>
      </x:c>
      <x:c r="J150" s="3" t="s">
        <x:v>1642</x:v>
      </x:c>
      <x:c r="K150" s="4">
        <x:v>95700</x:v>
      </x:c>
      <x:c r="L150" s="4">
        <x:f>+K150*0.1</x:f>
        <x:v>9570</x:v>
      </x:c>
      <x:c r="M150" s="5">
        <x:f t="shared" si="24"/>
        <x:v>105270</x:v>
      </x:c>
      <x:c r="N150" s="6"/>
      <x:c r="V150" s="1"/>
    </x:row>
    <x:row r="151" spans="1:22" s="2" customFormat="1" ht="20.100000000000001" customHeight="1">
      <x:c r="A151" s="299"/>
      <x:c r="B151" s="3" t="s">
        <x:v>1406</x:v>
      </x:c>
      <x:c r="C151" s="3"/>
      <x:c r="D151" s="4"/>
      <x:c r="E151" s="4"/>
      <x:c r="F151" s="194">
        <x:f t="shared" si="23"/>
        <x:v>0</x:v>
      </x:c>
      <x:c r="G151" s="180" t="s">
        <x:v>258</x:v>
      </x:c>
      <x:c r="H151" s="299"/>
      <x:c r="I151" s="3"/>
      <x:c r="J151" s="3"/>
      <x:c r="K151" s="4"/>
      <x:c r="L151" s="4"/>
      <x:c r="M151" s="5"/>
      <x:c r="N151" s="6"/>
      <x:c r="V151" s="1"/>
    </x:row>
    <x:row r="152" spans="1:22" s="2" customFormat="1" ht="20.100000000000001" customHeight="1">
      <x:c r="A152" s="299"/>
      <x:c r="B152" s="3" t="s">
        <x:v>276</x:v>
      </x:c>
      <x:c r="C152" s="3"/>
      <x:c r="D152" s="4"/>
      <x:c r="E152" s="4"/>
      <x:c r="F152" s="194">
        <x:f t="shared" si="23"/>
        <x:v>0</x:v>
      </x:c>
      <x:c r="G152" s="180" t="s">
        <x:v>258</x:v>
      </x:c>
      <x:c r="H152" s="299"/>
      <x:c r="I152" s="3"/>
      <x:c r="J152" s="3"/>
      <x:c r="K152" s="4"/>
      <x:c r="L152" s="4"/>
      <x:c r="M152" s="5">
        <x:f t="shared" si="24"/>
        <x:v>0</x:v>
      </x:c>
      <x:c r="N152" s="6"/>
      <x:c r="V152" s="1"/>
    </x:row>
    <x:row r="153" spans="1:22" s="2" customFormat="1" ht="20.100000000000001" customHeight="1">
      <x:c r="A153" s="299"/>
      <x:c r="B153" s="3" t="s">
        <x:v>1400</x:v>
      </x:c>
      <x:c r="C153" s="3"/>
      <x:c r="D153" s="4"/>
      <x:c r="E153" s="4"/>
      <x:c r="F153" s="194">
        <x:f t="shared" si="23"/>
        <x:v>0</x:v>
      </x:c>
      <x:c r="G153" s="6" t="s">
        <x:v>273</x:v>
      </x:c>
      <x:c r="H153" s="299"/>
      <x:c r="I153" s="3"/>
      <x:c r="J153" s="3"/>
      <x:c r="K153" s="4"/>
      <x:c r="L153" s="4"/>
      <x:c r="M153" s="5">
        <x:f t="shared" si="24"/>
        <x:v>0</x:v>
      </x:c>
      <x:c r="N153" s="6"/>
      <x:c r="V153" s="1"/>
    </x:row>
    <x:row r="154" spans="1:22" s="2" customFormat="1" ht="20.100000000000001" customHeight="1">
      <x:c r="A154" s="299"/>
      <x:c r="B154" s="3" t="s">
        <x:v>1448</x:v>
      </x:c>
      <x:c r="C154" s="3" t="s">
        <x:v>1590</x:v>
      </x:c>
      <x:c r="D154" s="4">
        <x:v>2928000</x:v>
      </x:c>
      <x:c r="E154" s="4">
        <x:f>+D154*0.1</x:f>
        <x:v>292800</x:v>
      </x:c>
      <x:c r="F154" s="5">
        <x:f t="shared" si="23"/>
        <x:v>3220800</x:v>
      </x:c>
      <x:c r="G154" s="6" t="s">
        <x:v>273</x:v>
      </x:c>
      <x:c r="H154" s="299"/>
      <x:c r="I154" s="3"/>
      <x:c r="J154" s="3"/>
      <x:c r="K154" s="4"/>
      <x:c r="L154" s="4"/>
      <x:c r="M154" s="5">
        <x:f t="shared" si="24"/>
        <x:v>0</x:v>
      </x:c>
      <x:c r="N154" s="6"/>
      <x:c r="V154" s="1"/>
    </x:row>
    <x:row r="155" spans="1:22" s="2" customFormat="1" ht="20.100000000000001" customHeight="1">
      <x:c r="A155" s="299"/>
      <x:c r="B155" s="3"/>
      <x:c r="C155" s="3"/>
      <x:c r="D155" s="4"/>
      <x:c r="E155" s="4"/>
      <x:c r="F155" s="5">
        <x:f t="shared" si="23"/>
        <x:v>0</x:v>
      </x:c>
      <x:c r="G155" s="6"/>
      <x:c r="H155" s="299"/>
      <x:c r="I155" s="3"/>
      <x:c r="J155" s="3"/>
      <x:c r="K155" s="4"/>
      <x:c r="L155" s="4"/>
      <x:c r="M155" s="5">
        <x:f t="shared" si="24"/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/>
      <x:c r="G156" s="6"/>
      <x:c r="H156" s="299"/>
      <x:c r="I156" s="3"/>
      <x:c r="J156" s="3"/>
      <x:c r="K156" s="4"/>
      <x:c r="L156" s="4"/>
      <x:c r="M156" s="5">
        <x:f t="shared" si="24"/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>
        <x:f t="shared" si="23"/>
        <x:v>0</x:v>
      </x:c>
      <x:c r="G157" s="6"/>
      <x:c r="H157" s="299"/>
      <x:c r="I157" s="3"/>
      <x:c r="J157" s="3"/>
      <x:c r="K157" s="4"/>
      <x:c r="L157" s="4"/>
      <x:c r="M157" s="5">
        <x:f t="shared" si="24"/>
        <x:v>0</x:v>
      </x:c>
      <x:c r="N157" s="6"/>
      <x:c r="V157" s="1"/>
    </x:row>
    <x:row r="158" spans="1:22" s="2" customFormat="1" ht="20.100000000000001" customHeight="1">
      <x:c r="A158" s="300"/>
      <x:c r="B158" s="3"/>
      <x:c r="C158" s="3"/>
      <x:c r="D158" s="4"/>
      <x:c r="E158" s="4"/>
      <x:c r="F158" s="5"/>
      <x:c r="G158" s="6"/>
      <x:c r="H158" s="300"/>
      <x:c r="I158" s="3"/>
      <x:c r="J158" s="3"/>
      <x:c r="K158" s="4"/>
      <x:c r="L158" s="4"/>
      <x:c r="M158" s="5">
        <x:f t="shared" si="24"/>
        <x:v>0</x:v>
      </x:c>
      <x:c r="N158" s="6"/>
      <x:c r="V158" s="1"/>
    </x:row>
    <x:row r="159" spans="1:22" s="2" customFormat="1" ht="20.100000000000001" customHeight="1">
      <x:c r="A159" s="7" t="s">
        <x:v>155</x:v>
      </x:c>
      <x:c r="B159" s="8"/>
      <x:c r="C159" s="8"/>
      <x:c r="D159" s="9">
        <x:f>SUM(D143:D158)</x:f>
        <x:v>26878000</x:v>
      </x:c>
      <x:c r="E159" s="9">
        <x:f>SUM(E143:E158)</x:f>
        <x:v>2687800</x:v>
      </x:c>
      <x:c r="F159" s="10">
        <x:f>SUM(F143:F158)</x:f>
        <x:v>29565800</x:v>
      </x:c>
      <x:c r="G159" s="11"/>
      <x:c r="H159" s="7"/>
      <x:c r="I159" s="8"/>
      <x:c r="J159" s="8"/>
      <x:c r="K159" s="9">
        <x:f>SUM(K143:K158)</x:f>
        <x:v>24448531</x:v>
      </x:c>
      <x:c r="L159" s="9">
        <x:f>SUM(L143:L158)</x:f>
        <x:v>2444850.1000000001</x:v>
      </x:c>
      <x:c r="M159" s="10">
        <x:f>SUM(M143:M158)</x:f>
        <x:v>26893381.100000001</x:v>
      </x:c>
      <x:c r="N159" s="11"/>
      <x:c r="V159" s="1"/>
    </x:row>
    <x:row r="160" spans="1:22" s="2" customFormat="1" ht="20.100000000000001" customHeight="1">
      <x:c r="A160" s="301" t="s">
        <x:v>153</x:v>
      </x:c>
      <x:c r="B160" s="3" t="s">
        <x:v>1241</x:v>
      </x:c>
      <x:c r="C160" s="3" t="s">
        <x:v>1594</x:v>
      </x:c>
      <x:c r="D160" s="44">
        <x:v>13450000</x:v>
      </x:c>
      <x:c r="E160" s="44"/>
      <x:c r="F160" s="45">
        <x:f>+D160+E160</x:f>
        <x:v>13450000</x:v>
      </x:c>
      <x:c r="G160" s="180" t="s">
        <x:v>258</x:v>
      </x:c>
      <x:c r="H160" s="301" t="s">
        <x:v>153</x:v>
      </x:c>
      <x:c r="I160" s="3" t="s">
        <x:v>1677</x:v>
      </x:c>
      <x:c r="J160" s="3" t="s">
        <x:v>1083</x:v>
      </x:c>
      <x:c r="K160" s="4">
        <x:v>20190000</x:v>
      </x:c>
      <x:c r="L160" s="4"/>
      <x:c r="M160" s="5">
        <x:f>+K160+L160</x:f>
        <x:v>20190000</x:v>
      </x:c>
      <x:c r="N160" s="6"/>
      <x:c r="V160" s="1"/>
    </x:row>
    <x:row r="161" spans="1:22" s="2" customFormat="1" ht="20.100000000000001" customHeight="1">
      <x:c r="A161" s="299"/>
      <x:c r="B161" s="3"/>
      <x:c r="C161" s="3"/>
      <x:c r="D161" s="44"/>
      <x:c r="E161" s="44">
        <x:f>+D161*0.1</x:f>
        <x:v>0</x:v>
      </x:c>
      <x:c r="F161" s="45">
        <x:f>+D161+E161</x:f>
        <x:v>0</x:v>
      </x:c>
      <x:c r="G161" s="37"/>
      <x:c r="H161" s="299"/>
      <x:c r="I161" s="3"/>
      <x:c r="J161" s="3"/>
      <x:c r="K161" s="4"/>
      <x:c r="L161" s="4"/>
      <x:c r="M161" s="5">
        <x:f>+K161+L161</x:f>
        <x:v>0</x:v>
      </x:c>
      <x:c r="N161" s="6"/>
      <x:c r="V161" s="1"/>
    </x:row>
    <x:row r="162" spans="1:22" s="2" customFormat="1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>+D162+E162</x:f>
        <x:v>0</x:v>
      </x:c>
      <x:c r="G162" s="6"/>
      <x:c r="H162" s="299"/>
      <x:c r="I162" s="3"/>
      <x:c r="J162" s="3"/>
      <x:c r="K162" s="4"/>
      <x:c r="L162" s="4"/>
      <x:c r="M162" s="5">
        <x:f>+K162+L162</x:f>
        <x:v>0</x:v>
      </x:c>
      <x:c r="N162" s="6"/>
      <x:c r="V162" s="1"/>
    </x:row>
    <x:row r="163" spans="1:22" s="2" customFormat="1" ht="20.100000000000001" customHeight="1">
      <x:c r="A163" s="300"/>
      <x:c r="B163" s="3"/>
      <x:c r="C163" s="3"/>
      <x:c r="D163" s="4"/>
      <x:c r="E163" s="4">
        <x:f>+D163*0.1</x:f>
        <x:v>0</x:v>
      </x:c>
      <x:c r="F163" s="5">
        <x:f>+D163+E163</x:f>
        <x:v>0</x:v>
      </x:c>
      <x:c r="G163" s="6"/>
      <x:c r="H163" s="300"/>
      <x:c r="I163" s="3"/>
      <x:c r="J163" s="3"/>
      <x:c r="K163" s="4"/>
      <x:c r="L163" s="4"/>
      <x:c r="M163" s="5">
        <x:f>+K163+L163</x:f>
        <x:v>0</x:v>
      </x:c>
      <x:c r="N163" s="6"/>
      <x:c r="V163" s="1"/>
    </x:row>
    <x:row r="164" spans="1:22" s="2" customFormat="1" ht="20.100000000000001" customHeight="1">
      <x:c r="A164" s="7" t="s">
        <x:v>155</x:v>
      </x:c>
      <x:c r="B164" s="8"/>
      <x:c r="C164" s="8"/>
      <x:c r="D164" s="9">
        <x:f>SUM(D160:D163)</x:f>
        <x:v>13450000</x:v>
      </x:c>
      <x:c r="E164" s="9">
        <x:f>SUM(E160:E163)</x:f>
        <x:v>0</x:v>
      </x:c>
      <x:c r="F164" s="10">
        <x:f>SUM(F160:F163)</x:f>
        <x:v>13450000</x:v>
      </x:c>
      <x:c r="G164" s="11"/>
      <x:c r="H164" s="7"/>
      <x:c r="I164" s="8"/>
      <x:c r="J164" s="8"/>
      <x:c r="K164" s="9">
        <x:f>SUM(K160:K163)</x:f>
        <x:v>20190000</x:v>
      </x:c>
      <x:c r="L164" s="9">
        <x:f>SUM(L160:L163)</x:f>
        <x:v>0</x:v>
      </x:c>
      <x:c r="M164" s="10">
        <x:f>SUM(M160:M163)</x:f>
        <x:v>20190000</x:v>
      </x:c>
      <x:c r="N164" s="11"/>
      <x:c r="V164" s="1"/>
    </x:row>
    <x:row r="165" spans="1:22" s="2" customFormat="1" ht="20.100000000000001" customHeight="1">
      <x:c r="A165" s="301" t="s">
        <x:v>187</x:v>
      </x:c>
      <x:c r="B165" s="3" t="s">
        <x:v>484</x:v>
      </x:c>
      <x:c r="C165" s="3" t="s">
        <x:v>1373</x:v>
      </x:c>
      <x:c r="D165" s="4"/>
      <x:c r="E165" s="4">
        <x:f>+D165*0.1</x:f>
        <x:v>0</x:v>
      </x:c>
      <x:c r="F165" s="5">
        <x:f>+D165+E165</x:f>
        <x:v>0</x:v>
      </x:c>
      <x:c r="G165" s="180" t="s">
        <x:v>258</x:v>
      </x:c>
      <x:c r="H165" s="301" t="s">
        <x:v>187</x:v>
      </x:c>
      <x:c r="I165" s="3" t="s">
        <x:v>857</x:v>
      </x:c>
      <x:c r="J165" s="3" t="s">
        <x:v>1006</x:v>
      </x:c>
      <x:c r="K165" s="4">
        <x:v>300000</x:v>
      </x:c>
      <x:c r="L165" s="4">
        <x:f>+K165*0.1</x:f>
        <x:v>30000</x:v>
      </x:c>
      <x:c r="M165" s="5">
        <x:f>+K165+L165</x:f>
        <x:v>330000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/>
      <x:c r="F166" s="5">
        <x:f>+D166+E166</x:f>
        <x:v>0</x:v>
      </x:c>
      <x:c r="G166" s="180"/>
      <x:c r="H166" s="299"/>
      <x:c r="I166" s="3" t="s">
        <x:v>559</x:v>
      </x:c>
      <x:c r="J166" s="3" t="s">
        <x:v>948</x:v>
      </x:c>
      <x:c r="K166" s="4">
        <x:v>180000</x:v>
      </x:c>
      <x:c r="L166" s="4">
        <x:f>+K166*0.1</x:f>
        <x:v>18000</x:v>
      </x:c>
      <x:c r="M166" s="5">
        <x:f>+K166+L166</x:f>
        <x:v>198000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>+D167+E167</x:f>
        <x:v>0</x:v>
      </x:c>
      <x:c r="G167" s="180"/>
      <x:c r="H167" s="299"/>
      <x:c r="I167" s="3"/>
      <x:c r="J167" s="3"/>
      <x:c r="K167" s="4"/>
      <x:c r="L167" s="4"/>
      <x:c r="M167" s="5">
        <x:f>+K167+L167</x:f>
        <x:v>0</x:v>
      </x:c>
      <x:c r="N167" s="6"/>
      <x:c r="V167" s="1"/>
    </x:row>
    <x:row r="168" spans="1:22" s="2" customFormat="1" ht="20.100000000000001" customHeight="1">
      <x:c r="A168" s="300"/>
      <x:c r="B168" s="3"/>
      <x:c r="C168" s="3"/>
      <x:c r="D168" s="4"/>
      <x:c r="E168" s="4"/>
      <x:c r="F168" s="5">
        <x:f>+D168+E168</x:f>
        <x:v>0</x:v>
      </x:c>
      <x:c r="G168" s="6"/>
      <x:c r="H168" s="300"/>
      <x:c r="I168" s="3"/>
      <x:c r="J168" s="3"/>
      <x:c r="K168" s="4"/>
      <x:c r="L168" s="4"/>
      <x:c r="M168" s="5">
        <x:f>+K168+L168</x:f>
        <x:v>0</x:v>
      </x:c>
      <x:c r="N168" s="6"/>
      <x:c r="V168" s="1"/>
    </x:row>
    <x:row r="169" spans="1:22" s="2" customFormat="1" ht="20.100000000000001" customHeight="1">
      <x:c r="A169" s="7" t="s">
        <x:v>155</x:v>
      </x:c>
      <x:c r="B169" s="8"/>
      <x:c r="C169" s="8"/>
      <x:c r="D169" s="9">
        <x:f>SUM(D165:D168)</x:f>
        <x:v>0</x:v>
      </x:c>
      <x:c r="E169" s="9">
        <x:f>SUM(E165:E168)</x:f>
        <x:v>0</x:v>
      </x:c>
      <x:c r="F169" s="10">
        <x:f>SUM(F165:F168)</x:f>
        <x:v>0</x:v>
      </x:c>
      <x:c r="G169" s="11"/>
      <x:c r="H169" s="7"/>
      <x:c r="I169" s="8"/>
      <x:c r="J169" s="8"/>
      <x:c r="K169" s="9">
        <x:f>SUM(K165:K168)</x:f>
        <x:v>480000</x:v>
      </x:c>
      <x:c r="L169" s="9">
        <x:f>SUM(L165:L168)</x:f>
        <x:v>48000</x:v>
      </x:c>
      <x:c r="M169" s="10">
        <x:f>SUM(M165:M168)</x:f>
        <x:v>528000</x:v>
      </x:c>
      <x:c r="N169" s="11"/>
      <x:c r="V169" s="1"/>
    </x:row>
    <x:row r="170" spans="1:22" s="2" customFormat="1" ht="20.100000000000001" customHeight="1">
      <x:c r="A170" s="301" t="s">
        <x:v>149</x:v>
      </x:c>
      <x:c r="B170" s="3" t="s">
        <x:v>1404</x:v>
      </x:c>
      <x:c r="C170" s="3" t="s">
        <x:v>887</x:v>
      </x:c>
      <x:c r="D170" s="4"/>
      <x:c r="E170" s="4"/>
      <x:c r="F170" s="5">
        <x:f>+D170+E170</x:f>
        <x:v>0</x:v>
      </x:c>
      <x:c r="G170" s="6" t="s">
        <x:v>489</x:v>
      </x:c>
      <x:c r="H170" s="301" t="s">
        <x:v>149</x:v>
      </x:c>
      <x:c r="I170" s="3" t="s">
        <x:v>169</x:v>
      </x:c>
      <x:c r="J170" s="3" t="s">
        <x:v>149</x:v>
      </x:c>
      <x:c r="K170" s="4">
        <x:v>2000280</x:v>
      </x:c>
      <x:c r="L170" s="4">
        <x:v>7000</x:v>
      </x:c>
      <x:c r="M170" s="5">
        <x:f t="shared" ref="M170:M178" si="25">+K170+L170</x:f>
        <x:v>2007280</x:v>
      </x:c>
      <x:c r="N170" s="6" t="s">
        <x:v>1518</x:v>
      </x:c>
      <x:c r="V170" s="1"/>
    </x:row>
    <x:row r="171" spans="1:22" s="2" customFormat="1" ht="20.100000000000001" customHeight="1">
      <x:c r="A171" s="299"/>
      <x:c r="B171" s="3"/>
      <x:c r="C171" s="3"/>
      <x:c r="D171" s="4"/>
      <x:c r="E171" s="4"/>
      <x:c r="F171" s="5">
        <x:f>+D171+E171</x:f>
        <x:v>0</x:v>
      </x:c>
      <x:c r="G171" s="6"/>
      <x:c r="H171" s="299"/>
      <x:c r="I171" s="3" t="s">
        <x:v>1481</x:v>
      </x:c>
      <x:c r="J171" s="3" t="s">
        <x:v>1356</x:v>
      </x:c>
      <x:c r="K171" s="4">
        <x:v>876000</x:v>
      </x:c>
      <x:c r="L171" s="4">
        <x:f>+K171*0.1</x:f>
        <x:v>87600</x:v>
      </x:c>
      <x:c r="M171" s="5">
        <x:f t="shared" si="25"/>
        <x:v>963600</x:v>
      </x:c>
      <x:c r="N171" s="6"/>
      <x:c r="V171" s="1"/>
    </x:row>
    <x:row r="172" spans="1:22" s="2" customFormat="1" ht="20.100000000000001" customHeight="1">
      <x:c r="A172" s="299"/>
      <x:c r="B172" s="3"/>
      <x:c r="C172" s="3"/>
      <x:c r="D172" s="4"/>
      <x:c r="E172" s="4"/>
      <x:c r="F172" s="5">
        <x:f>+D172+E172</x:f>
        <x:v>0</x:v>
      </x:c>
      <x:c r="G172" s="6"/>
      <x:c r="H172" s="299"/>
      <x:c r="I172" s="3" t="s">
        <x:v>261</x:v>
      </x:c>
      <x:c r="J172" s="3" t="s">
        <x:v>517</x:v>
      </x:c>
      <x:c r="K172" s="4">
        <x:v>500000</x:v>
      </x:c>
      <x:c r="L172" s="4"/>
      <x:c r="M172" s="5">
        <x:f t="shared" si="25"/>
        <x:v>500000</x:v>
      </x:c>
      <x:c r="N172" s="6"/>
      <x:c r="V172" s="1"/>
    </x:row>
    <x:row r="173" spans="1:22" s="2" customFormat="1" ht="20.100000000000001" customHeight="1">
      <x:c r="A173" s="299"/>
      <x:c r="B173" s="3"/>
      <x:c r="C173" s="3"/>
      <x:c r="D173" s="4"/>
      <x:c r="E173" s="4"/>
      <x:c r="F173" s="5">
        <x:f t="shared" ref="F173:F179" si="26">+D173+E173</x:f>
        <x:v>0</x:v>
      </x:c>
      <x:c r="G173" s="6"/>
      <x:c r="H173" s="299"/>
      <x:c r="I173" s="3" t="s">
        <x:v>527</x:v>
      </x:c>
      <x:c r="J173" s="3" t="s">
        <x:v>914</x:v>
      </x:c>
      <x:c r="K173" s="4">
        <x:v>130000</x:v>
      </x:c>
      <x:c r="L173" s="4">
        <x:f>+K173*0.1</x:f>
        <x:v>13000</x:v>
      </x:c>
      <x:c r="M173" s="5">
        <x:f t="shared" si="25"/>
        <x:v>143000</x:v>
      </x:c>
      <x:c r="N173" s="6"/>
      <x:c r="V173" s="1"/>
    </x:row>
    <x:row r="174" spans="1:22" s="2" customFormat="1" ht="20.100000000000001" customHeight="1">
      <x:c r="A174" s="299"/>
      <x:c r="B174" s="3"/>
      <x:c r="C174" s="3"/>
      <x:c r="D174" s="4"/>
      <x:c r="E174" s="4"/>
      <x:c r="F174" s="5">
        <x:f t="shared" si="26"/>
        <x:v>0</x:v>
      </x:c>
      <x:c r="G174" s="6"/>
      <x:c r="H174" s="299"/>
      <x:c r="I174" s="3" t="s">
        <x:v>247</x:v>
      </x:c>
      <x:c r="J174" s="3" t="s">
        <x:v>231</x:v>
      </x:c>
      <x:c r="K174" s="4">
        <x:f>21000+21000</x:f>
        <x:v>42000</x:v>
      </x:c>
      <x:c r="L174" s="4">
        <x:f>+K174*0.1</x:f>
        <x:v>4200</x:v>
      </x:c>
      <x:c r="M174" s="5">
        <x:f t="shared" si="25"/>
        <x:v>46200</x:v>
      </x:c>
      <x:c r="N174" s="6" t="s">
        <x:v>1451</x:v>
      </x:c>
      <x:c r="V174" s="1"/>
    </x:row>
    <x:row r="175" spans="1:22" s="2" customFormat="1" ht="20.100000000000001" customHeight="1">
      <x:c r="A175" s="299"/>
      <x:c r="B175" s="3"/>
      <x:c r="C175" s="3"/>
      <x:c r="D175" s="4"/>
      <x:c r="E175" s="4"/>
      <x:c r="F175" s="5">
        <x:f t="shared" si="26"/>
        <x:v>0</x:v>
      </x:c>
      <x:c r="G175" s="6"/>
      <x:c r="H175" s="299"/>
      <x:c r="I175" s="3" t="s">
        <x:v>555</x:v>
      </x:c>
      <x:c r="J175" s="3" t="s">
        <x:v>167</x:v>
      </x:c>
      <x:c r="K175" s="4"/>
      <x:c r="L175" s="4"/>
      <x:c r="M175" s="5">
        <x:f t="shared" si="25"/>
        <x:v>0</x:v>
      </x:c>
      <x:c r="N175" s="6"/>
      <x:c r="V175" s="1"/>
    </x:row>
    <x:row r="176" spans="1:22" s="2" customFormat="1" ht="20.100000000000001" customHeight="1">
      <x:c r="A176" s="299"/>
      <x:c r="B176" s="3"/>
      <x:c r="C176" s="3"/>
      <x:c r="D176" s="4"/>
      <x:c r="E176" s="4"/>
      <x:c r="F176" s="5">
        <x:f t="shared" si="26"/>
        <x:v>0</x:v>
      </x:c>
      <x:c r="G176" s="6"/>
      <x:c r="H176" s="299"/>
      <x:c r="I176" s="3" t="s">
        <x:v>1479</x:v>
      </x:c>
      <x:c r="J176" s="3" t="s">
        <x:v>520</x:v>
      </x:c>
      <x:c r="K176" s="4">
        <x:v>6000000</x:v>
      </x:c>
      <x:c r="L176" s="4">
        <x:f>+K176*0.1</x:f>
        <x:v>600000</x:v>
      </x:c>
      <x:c r="M176" s="5">
        <x:f t="shared" si="25"/>
        <x:v>6600000</x:v>
      </x:c>
      <x:c r="N176" s="6"/>
      <x:c r="V176" s="1"/>
    </x:row>
    <x:row r="177" spans="1:22" s="2" customFormat="1" ht="20.100000000000001" customHeight="1">
      <x:c r="A177" s="299"/>
      <x:c r="B177" s="3"/>
      <x:c r="C177" s="3"/>
      <x:c r="D177" s="4"/>
      <x:c r="E177" s="4"/>
      <x:c r="F177" s="5">
        <x:f t="shared" si="26"/>
        <x:v>0</x:v>
      </x:c>
      <x:c r="G177" s="6"/>
      <x:c r="H177" s="299"/>
      <x:c r="I177" s="3" t="s">
        <x:v>1205</x:v>
      </x:c>
      <x:c r="J177" s="3" t="s">
        <x:v>267</x:v>
      </x:c>
      <x:c r="K177" s="4">
        <x:v>21818</x:v>
      </x:c>
      <x:c r="L177" s="4">
        <x:v>2182</x:v>
      </x:c>
      <x:c r="M177" s="5">
        <x:f t="shared" si="25"/>
        <x:v>24000</x:v>
      </x:c>
      <x:c r="N177" s="6" t="s">
        <x:v>1620</x:v>
      </x:c>
      <x:c r="V177" s="1"/>
    </x:row>
    <x:row r="178" spans="1:22" s="2" customFormat="1" ht="20.100000000000001" customHeight="1">
      <x:c r="A178" s="299"/>
      <x:c r="B178" s="3"/>
      <x:c r="C178" s="3"/>
      <x:c r="D178" s="4"/>
      <x:c r="E178" s="4"/>
      <x:c r="F178" s="5">
        <x:f t="shared" si="26"/>
        <x:v>0</x:v>
      </x:c>
      <x:c r="G178" s="6"/>
      <x:c r="H178" s="299"/>
      <x:c r="I178" s="3"/>
      <x:c r="J178" s="3"/>
      <x:c r="K178" s="4"/>
      <x:c r="L178" s="4"/>
      <x:c r="M178" s="5">
        <x:f t="shared" si="25"/>
        <x:v>0</x:v>
      </x:c>
      <x:c r="N178" s="6"/>
      <x:c r="V178" s="1"/>
    </x:row>
    <x:row r="179" spans="1:22" s="2" customFormat="1" ht="20.100000000000001" customHeight="1">
      <x:c r="A179" s="300"/>
      <x:c r="B179" s="3"/>
      <x:c r="C179" s="3"/>
      <x:c r="D179" s="4"/>
      <x:c r="E179" s="4"/>
      <x:c r="F179" s="5">
        <x:f t="shared" si="26"/>
        <x:v>0</x:v>
      </x:c>
      <x:c r="G179" s="6"/>
      <x:c r="H179" s="300"/>
      <x:c r="I179" s="3"/>
      <x:c r="J179" s="3"/>
      <x:c r="K179" s="4"/>
      <x:c r="L179" s="4"/>
      <x:c r="M179" s="5">
        <x:f>+K179+L179</x:f>
        <x:v>0</x:v>
      </x:c>
      <x:c r="N179" s="6"/>
      <x:c r="V179" s="1"/>
    </x:row>
    <x:row r="180" spans="1:22" s="2" customFormat="1" ht="20.100000000000001" customHeight="1">
      <x:c r="A180" s="7" t="s">
        <x:v>155</x:v>
      </x:c>
      <x:c r="B180" s="8"/>
      <x:c r="C180" s="8"/>
      <x:c r="D180" s="9">
        <x:f>SUM(D170:D179)</x:f>
        <x:v>0</x:v>
      </x:c>
      <x:c r="E180" s="9">
        <x:f>SUM(E170:E179)</x:f>
        <x:v>0</x:v>
      </x:c>
      <x:c r="F180" s="10">
        <x:f>SUM(F170:F179)</x:f>
        <x:v>0</x:v>
      </x:c>
      <x:c r="G180" s="11"/>
      <x:c r="H180" s="7"/>
      <x:c r="I180" s="8"/>
      <x:c r="J180" s="8"/>
      <x:c r="K180" s="9">
        <x:f>SUM(K170:K179)</x:f>
        <x:v>9570098</x:v>
      </x:c>
      <x:c r="L180" s="9">
        <x:f>SUM(L170:L179)</x:f>
        <x:v>713982</x:v>
      </x:c>
      <x:c r="M180" s="10">
        <x:f>SUM(M170:M179)</x:f>
        <x:v>10284080</x:v>
      </x:c>
      <x:c r="N180" s="11"/>
      <x:c r="V180" s="1"/>
    </x:row>
    <x:row r="181" spans="1:22" s="2" customFormat="1" ht="20.100000000000001" customHeight="1">
      <x:c r="A181" s="12" t="s">
        <x:v>1690</x:v>
      </x:c>
      <x:c r="B181" s="13"/>
      <x:c r="C181" s="13"/>
      <x:c r="D181" s="14">
        <x:f>+D159+D164+D169+D180</x:f>
        <x:v>40328000</x:v>
      </x:c>
      <x:c r="E181" s="14">
        <x:f>+E159+E164+E169+E180</x:f>
        <x:v>2687800</x:v>
      </x:c>
      <x:c r="F181" s="15">
        <x:f>+F159+F164+F169+F180</x:f>
        <x:v>43015800</x:v>
      </x:c>
      <x:c r="G181" s="16"/>
      <x:c r="H181" s="12"/>
      <x:c r="I181" s="13"/>
      <x:c r="J181" s="13"/>
      <x:c r="K181" s="14">
        <x:f>+K159+K164+K169+K180</x:f>
        <x:v>54688629</x:v>
      </x:c>
      <x:c r="L181" s="14">
        <x:f>+L159+L164+L169+L180</x:f>
        <x:v>3206832.1000000001</x:v>
      </x:c>
      <x:c r="M181" s="15">
        <x:f>+M159+M164+M169+M180</x:f>
        <x:v>57895461.100000001</x:v>
      </x:c>
      <x:c r="N181" s="16"/>
      <x:c r="V181" s="1"/>
    </x:row>
    <x:row r="182" spans="1:22" s="2" customFormat="1" ht="20.100000000000001" customHeight="1">
      <x:c r="A182" s="23" t="s">
        <x:v>35</x:v>
      </x:c>
      <x:c r="B182" s="24"/>
      <x:c r="C182" s="24"/>
      <x:c r="D182" s="25">
        <x:f>+D142-D181</x:f>
        <x:v>4732000</x:v>
      </x:c>
      <x:c r="E182" s="25">
        <x:f>+E142-E181</x:f>
        <x:v>1818200</x:v>
      </x:c>
      <x:c r="F182" s="26">
        <x:f>+F142-F181</x:f>
        <x:v>6550200</x:v>
      </x:c>
      <x:c r="G182" s="27"/>
      <x:c r="H182" s="23"/>
      <x:c r="I182" s="24"/>
      <x:c r="J182" s="24"/>
      <x:c r="K182" s="25">
        <x:f>+K142-K181</x:f>
        <x:v>-54688629</x:v>
      </x:c>
      <x:c r="L182" s="25">
        <x:f>+L142-L181</x:f>
        <x:v>-3206832.1000000001</x:v>
      </x:c>
      <x:c r="M182" s="26">
        <x:f>+M142-M181</x:f>
        <x:v>-57895461.100000001</x:v>
      </x:c>
      <x:c r="N182" s="27"/>
      <x:c r="V182" s="1"/>
    </x:row>
    <x:row r="183" spans="1:22" s="2" customFormat="1" ht="20.100000000000001" customHeight="1">
      <x:c r="A183" s="302" t="s">
        <x:v>438</x:v>
      </x:c>
      <x:c r="B183" s="303"/>
      <x:c r="C183" s="303"/>
      <x:c r="D183" s="303"/>
      <x:c r="E183" s="303"/>
      <x:c r="F183" s="304"/>
      <x:c r="G183" s="305"/>
      <x:c r="H183" s="302" t="s">
        <x:v>560</x:v>
      </x:c>
      <x:c r="I183" s="303"/>
      <x:c r="J183" s="303"/>
      <x:c r="K183" s="303"/>
      <x:c r="L183" s="303"/>
      <x:c r="M183" s="304"/>
      <x:c r="N183" s="305"/>
      <x:c r="V183" s="1"/>
    </x:row>
    <x:row r="184" spans="1:22" s="2" customFormat="1" ht="20.100000000000001" customHeight="1">
      <x:c r="A184" s="29" t="s">
        <x:v>147</x:v>
      </x:c>
      <x:c r="B184" s="232" t="s">
        <x:v>144</x:v>
      </x:c>
      <x:c r="C184" s="232" t="s">
        <x:v>150</x:v>
      </x:c>
      <x:c r="D184" s="31" t="s">
        <x:v>145</x:v>
      </x:c>
      <x:c r="E184" s="31" t="s">
        <x:v>152</x:v>
      </x:c>
      <x:c r="F184" s="32" t="s">
        <x:v>146</x:v>
      </x:c>
      <x:c r="G184" s="33" t="s">
        <x:v>154</x:v>
      </x:c>
      <x:c r="H184" s="29" t="s">
        <x:v>147</x:v>
      </x:c>
      <x:c r="I184" s="232" t="s">
        <x:v>144</x:v>
      </x:c>
      <x:c r="J184" s="232" t="s">
        <x:v>150</x:v>
      </x:c>
      <x:c r="K184" s="31" t="s">
        <x:v>145</x:v>
      </x:c>
      <x:c r="L184" s="31" t="s">
        <x:v>152</x:v>
      </x:c>
      <x:c r="M184" s="31" t="s">
        <x:v>146</x:v>
      </x:c>
      <x:c r="N184" s="34" t="s">
        <x:v>154</x:v>
      </x:c>
      <x:c r="V184" s="1"/>
    </x:row>
    <x:row r="185" spans="1:22" s="2" customFormat="1" ht="20.100000000000001" customHeight="1">
      <x:c r="A185" s="231" t="s">
        <x:v>151</x:v>
      </x:c>
      <x:c r="B185" s="38" t="s">
        <x:v>1679</x:v>
      </x:c>
      <x:c r="C185" s="38" t="s">
        <x:v>1030</x:v>
      </x:c>
      <x:c r="D185" s="39">
        <x:v>48700000</x:v>
      </x:c>
      <x:c r="E185" s="39">
        <x:f>+D185*0.1</x:f>
        <x:v>4870000</x:v>
      </x:c>
      <x:c r="F185" s="40">
        <x:f t="shared" ref="F185:F201" si="27">+D185+E185</x:f>
        <x:v>53570000</x:v>
      </x:c>
      <x:c r="G185" s="18"/>
      <x:c r="H185" s="41" t="s">
        <x:v>151</x:v>
      </x:c>
      <x:c r="I185" s="38" t="s">
        <x:v>1679</x:v>
      </x:c>
      <x:c r="J185" s="38" t="s">
        <x:v>156</x:v>
      </x:c>
      <x:c r="K185" s="39"/>
      <x:c r="L185" s="39"/>
      <x:c r="M185" s="40">
        <x:f>+K185+L185</x:f>
        <x:v>0</x:v>
      </x:c>
      <x:c r="N185" s="42"/>
      <x:c r="V185" s="1"/>
    </x:row>
    <x:row r="186" spans="1:22" s="2" customFormat="1" ht="20.100000000000001" customHeight="1">
      <x:c r="A186" s="298" t="s">
        <x:v>148</x:v>
      </x:c>
      <x:c r="B186" s="19" t="s">
        <x:v>1498</x:v>
      </x:c>
      <x:c r="C186" s="19"/>
      <x:c r="D186" s="20"/>
      <x:c r="E186" s="20"/>
      <x:c r="F186" s="21">
        <x:f t="shared" si="27"/>
        <x:v>0</x:v>
      </x:c>
      <x:c r="G186" s="95"/>
      <x:c r="H186" s="298" t="s">
        <x:v>148</x:v>
      </x:c>
      <x:c r="I186" s="19"/>
      <x:c r="J186" s="19"/>
      <x:c r="K186" s="20"/>
      <x:c r="L186" s="20">
        <x:f>+K186*0.1</x:f>
        <x:v>0</x:v>
      </x:c>
      <x:c r="M186" s="21">
        <x:f t="shared" ref="M186:M201" si="28">+K186+L186</x:f>
        <x:v>0</x:v>
      </x:c>
      <x:c r="N186" s="22"/>
      <x:c r="V186" s="1"/>
    </x:row>
    <x:row r="187" spans="1:22" s="2" customFormat="1" ht="20.100000000000001" customHeight="1">
      <x:c r="A187" s="299"/>
      <x:c r="B187" s="3" t="s">
        <x:v>1541</x:v>
      </x:c>
      <x:c r="C187" s="3" t="s">
        <x:v>562</x:v>
      </x:c>
      <x:c r="D187" s="4">
        <x:v>1240000</x:v>
      </x:c>
      <x:c r="E187" s="4">
        <x:f>+D187*0.1</x:f>
        <x:v>124000</x:v>
      </x:c>
      <x:c r="F187" s="5">
        <x:f t="shared" si="27"/>
        <x:v>1364000</x:v>
      </x:c>
      <x:c r="G187" s="180"/>
      <x:c r="H187" s="299"/>
      <x:c r="I187" s="3"/>
      <x:c r="J187" s="3"/>
      <x:c r="K187" s="4"/>
      <x:c r="L187" s="4"/>
      <x:c r="M187" s="5">
        <x:f t="shared" si="28"/>
        <x:v>0</x:v>
      </x:c>
      <x:c r="N187" s="6"/>
      <x:c r="V187" s="1"/>
    </x:row>
    <x:row r="188" spans="1:22" s="2" customFormat="1" ht="20.100000000000001" customHeight="1">
      <x:c r="A188" s="299"/>
      <x:c r="B188" s="3" t="s">
        <x:v>854</x:v>
      </x:c>
      <x:c r="C188" s="3" t="s">
        <x:v>765</x:v>
      </x:c>
      <x:c r="D188" s="4">
        <x:v>205430</x:v>
      </x:c>
      <x:c r="E188" s="4">
        <x:f>+D188*0.1</x:f>
        <x:v>20543</x:v>
      </x:c>
      <x:c r="F188" s="5">
        <x:f t="shared" si="27"/>
        <x:v>225973</x:v>
      </x:c>
      <x:c r="G188" s="180"/>
      <x:c r="H188" s="299"/>
      <x:c r="I188" s="3"/>
      <x:c r="J188" s="3"/>
      <x:c r="K188" s="4"/>
      <x:c r="L188" s="4">
        <x:f>+K188*0.1</x:f>
        <x:v>0</x:v>
      </x:c>
      <x:c r="M188" s="5">
        <x:f t="shared" si="28"/>
        <x:v>0</x:v>
      </x:c>
      <x:c r="N188" s="6"/>
      <x:c r="V188" s="1"/>
    </x:row>
    <x:row r="189" spans="1:22" s="2" customFormat="1" ht="20.100000000000001" customHeight="1">
      <x:c r="A189" s="299"/>
      <x:c r="B189" s="3" t="s">
        <x:v>867</x:v>
      </x:c>
      <x:c r="C189" s="3"/>
      <x:c r="D189" s="4"/>
      <x:c r="E189" s="4"/>
      <x:c r="F189" s="5">
        <x:f t="shared" si="27"/>
        <x:v>0</x:v>
      </x:c>
      <x:c r="G189" s="180"/>
      <x:c r="H189" s="299"/>
      <x:c r="I189" s="3"/>
      <x:c r="J189" s="3"/>
      <x:c r="K189" s="4"/>
      <x:c r="L189" s="4">
        <x:f>+K189*0.1</x:f>
        <x:v>0</x:v>
      </x:c>
      <x:c r="M189" s="5">
        <x:f t="shared" si="28"/>
        <x:v>0</x:v>
      </x:c>
      <x:c r="N189" s="6"/>
      <x:c r="V189" s="1"/>
    </x:row>
    <x:row r="190" spans="1:22" s="2" customFormat="1" ht="20.100000000000001" customHeight="1">
      <x:c r="A190" s="299"/>
      <x:c r="B190" s="3" t="s">
        <x:v>976</x:v>
      </x:c>
      <x:c r="C190" s="3"/>
      <x:c r="D190" s="4"/>
      <x:c r="E190" s="4">
        <x:f>+D190*0.1</x:f>
        <x:v>0</x:v>
      </x:c>
      <x:c r="F190" s="5">
        <x:f t="shared" si="27"/>
        <x:v>0</x:v>
      </x:c>
      <x:c r="G190" s="180"/>
      <x:c r="H190" s="299"/>
      <x:c r="I190" s="3"/>
      <x:c r="J190" s="3"/>
      <x:c r="K190" s="4"/>
      <x:c r="L190" s="4">
        <x:f>+K190*0.1</x:f>
        <x:v>0</x:v>
      </x:c>
      <x:c r="M190" s="5">
        <x:f t="shared" si="28"/>
        <x:v>0</x:v>
      </x:c>
      <x:c r="N190" s="6"/>
      <x:c r="V190" s="1"/>
    </x:row>
    <x:row r="191" spans="1:22" s="2" customFormat="1" ht="20.100000000000001" customHeight="1">
      <x:c r="A191" s="299"/>
      <x:c r="B191" s="3" t="s">
        <x:v>938</x:v>
      </x:c>
      <x:c r="C191" s="3"/>
      <x:c r="D191" s="4"/>
      <x:c r="E191" s="4"/>
      <x:c r="F191" s="5">
        <x:f t="shared" si="27"/>
        <x:v>0</x:v>
      </x:c>
      <x:c r="G191" s="180"/>
      <x:c r="H191" s="299"/>
      <x:c r="I191" s="3"/>
      <x:c r="J191" s="3"/>
      <x:c r="K191" s="4"/>
      <x:c r="L191" s="4">
        <x:f t="shared" ref="L191:L201" si="29">+K191*0.1</x:f>
        <x:v>0</x:v>
      </x:c>
      <x:c r="M191" s="5">
        <x:f t="shared" si="28"/>
        <x:v>0</x:v>
      </x:c>
      <x:c r="N191" s="6"/>
      <x:c r="V191" s="1"/>
    </x:row>
    <x:row r="192" spans="1:22" s="2" customFormat="1" ht="20.100000000000001" customHeight="1">
      <x:c r="A192" s="299"/>
      <x:c r="B192" s="3" t="s">
        <x:v>838</x:v>
      </x:c>
      <x:c r="C192" s="3"/>
      <x:c r="D192" s="4"/>
      <x:c r="E192" s="4"/>
      <x:c r="F192" s="5">
        <x:f t="shared" si="27"/>
        <x:v>0</x:v>
      </x:c>
      <x:c r="G192" s="6"/>
      <x:c r="H192" s="299"/>
      <x:c r="I192" s="3"/>
      <x:c r="J192" s="3"/>
      <x:c r="K192" s="4"/>
      <x:c r="L192" s="4">
        <x:f t="shared" si="29"/>
        <x:v>0</x:v>
      </x:c>
      <x:c r="M192" s="5">
        <x:f t="shared" si="28"/>
        <x:v>0</x:v>
      </x:c>
      <x:c r="N192" s="6"/>
      <x:c r="V192" s="1"/>
    </x:row>
    <x:row r="193" spans="1:22" s="2" customFormat="1" ht="20.100000000000001" customHeight="1">
      <x:c r="A193" s="299"/>
      <x:c r="B193" s="3" t="s">
        <x:v>1378</x:v>
      </x:c>
      <x:c r="C193" s="3" t="s">
        <x:v>1622</x:v>
      </x:c>
      <x:c r="D193" s="4">
        <x:v>15500</x:v>
      </x:c>
      <x:c r="E193" s="4">
        <x:f>+D193*0.1</x:f>
        <x:v>1550</x:v>
      </x:c>
      <x:c r="F193" s="5">
        <x:f t="shared" si="27"/>
        <x:v>17050</x:v>
      </x:c>
      <x:c r="G193" s="180"/>
      <x:c r="H193" s="299"/>
      <x:c r="I193" s="3"/>
      <x:c r="J193" s="3"/>
      <x:c r="K193" s="4"/>
      <x:c r="L193" s="4">
        <x:f t="shared" si="29"/>
        <x:v>0</x:v>
      </x:c>
      <x:c r="M193" s="5">
        <x:f t="shared" si="28"/>
        <x:v>0</x:v>
      </x:c>
      <x:c r="N193" s="6"/>
      <x:c r="V193" s="1"/>
    </x:row>
    <x:row r="194" spans="1:22" s="2" customFormat="1" ht="20.100000000000001" customHeight="1">
      <x:c r="A194" s="299"/>
      <x:c r="B194" s="3" t="s">
        <x:v>1033</x:v>
      </x:c>
      <x:c r="C194" s="3"/>
      <x:c r="D194" s="4"/>
      <x:c r="E194" s="4"/>
      <x:c r="F194" s="5">
        <x:f t="shared" si="27"/>
        <x:v>0</x:v>
      </x:c>
      <x:c r="G194" s="180"/>
      <x:c r="H194" s="299"/>
      <x:c r="I194" s="3"/>
      <x:c r="J194" s="3"/>
      <x:c r="K194" s="4"/>
      <x:c r="L194" s="4">
        <x:f t="shared" si="29"/>
        <x:v>0</x:v>
      </x:c>
      <x:c r="M194" s="5">
        <x:f t="shared" si="28"/>
        <x:v>0</x:v>
      </x:c>
      <x:c r="N194" s="6"/>
      <x:c r="V194" s="1"/>
    </x:row>
    <x:row r="195" spans="1:22" s="2" customFormat="1" ht="20.100000000000001" customHeight="1">
      <x:c r="A195" s="299"/>
      <x:c r="B195" s="3" t="s">
        <x:v>846</x:v>
      </x:c>
      <x:c r="C195" s="3"/>
      <x:c r="D195" s="4"/>
      <x:c r="E195" s="4"/>
      <x:c r="F195" s="5">
        <x:f t="shared" si="27"/>
        <x:v>0</x:v>
      </x:c>
      <x:c r="G195" s="180"/>
      <x:c r="H195" s="299"/>
      <x:c r="I195" s="3"/>
      <x:c r="J195" s="3"/>
      <x:c r="K195" s="4"/>
      <x:c r="L195" s="4">
        <x:f t="shared" si="29"/>
        <x:v>0</x:v>
      </x:c>
      <x:c r="M195" s="5">
        <x:f t="shared" si="28"/>
        <x:v>0</x:v>
      </x:c>
      <x:c r="N195" s="6"/>
      <x:c r="V195" s="1"/>
    </x:row>
    <x:row r="196" spans="1:22" s="2" customFormat="1" ht="20.100000000000001" customHeight="1">
      <x:c r="A196" s="299"/>
      <x:c r="B196" s="3" t="s">
        <x:v>1606</x:v>
      </x:c>
      <x:c r="C196" s="3" t="s">
        <x:v>1112</x:v>
      </x:c>
      <x:c r="D196" s="4">
        <x:v>6500000</x:v>
      </x:c>
      <x:c r="E196" s="4">
        <x:f>+D196*0.1</x:f>
        <x:v>650000</x:v>
      </x:c>
      <x:c r="F196" s="5">
        <x:f t="shared" si="27"/>
        <x:v>7150000</x:v>
      </x:c>
      <x:c r="G196" s="6"/>
      <x:c r="H196" s="299"/>
      <x:c r="I196" s="3"/>
      <x:c r="J196" s="3"/>
      <x:c r="K196" s="4"/>
      <x:c r="L196" s="4">
        <x:f t="shared" si="29"/>
        <x:v>0</x:v>
      </x:c>
      <x:c r="M196" s="5">
        <x:f t="shared" si="28"/>
        <x:v>0</x:v>
      </x:c>
      <x:c r="N196" s="6"/>
      <x:c r="V196" s="1"/>
    </x:row>
    <x:row r="197" spans="1:22" s="2" customFormat="1" ht="20.100000000000001" customHeight="1">
      <x:c r="A197" s="299"/>
      <x:c r="B197" s="3"/>
      <x:c r="C197" s="3"/>
      <x:c r="D197" s="4"/>
      <x:c r="E197" s="4"/>
      <x:c r="F197" s="5">
        <x:f t="shared" si="27"/>
        <x:v>0</x:v>
      </x:c>
      <x:c r="G197" s="6"/>
      <x:c r="H197" s="299"/>
      <x:c r="I197" s="3"/>
      <x:c r="J197" s="3"/>
      <x:c r="K197" s="4"/>
      <x:c r="L197" s="4">
        <x:f t="shared" si="29"/>
        <x:v>0</x:v>
      </x:c>
      <x:c r="M197" s="5">
        <x:f t="shared" si="28"/>
        <x:v>0</x:v>
      </x:c>
      <x:c r="N197" s="6"/>
      <x:c r="V197" s="1"/>
    </x:row>
    <x:row r="198" spans="1:22" s="2" customFormat="1" ht="20.100000000000001" customHeight="1">
      <x:c r="A198" s="299"/>
      <x:c r="B198" s="3"/>
      <x:c r="C198" s="3"/>
      <x:c r="D198" s="4"/>
      <x:c r="E198" s="4"/>
      <x:c r="F198" s="5">
        <x:f t="shared" si="27"/>
        <x:v>0</x:v>
      </x:c>
      <x:c r="G198" s="6"/>
      <x:c r="H198" s="299"/>
      <x:c r="I198" s="3"/>
      <x:c r="J198" s="3"/>
      <x:c r="K198" s="4"/>
      <x:c r="L198" s="4">
        <x:f t="shared" si="29"/>
        <x:v>0</x:v>
      </x:c>
      <x:c r="M198" s="5">
        <x:f t="shared" si="28"/>
        <x:v>0</x:v>
      </x:c>
      <x:c r="N198" s="6"/>
      <x:c r="V198" s="1"/>
    </x:row>
    <x:row r="199" spans="1:22" s="2" customFormat="1" ht="20.100000000000001" customHeight="1">
      <x:c r="A199" s="299"/>
      <x:c r="B199" s="3"/>
      <x:c r="C199" s="3"/>
      <x:c r="D199" s="4"/>
      <x:c r="E199" s="4"/>
      <x:c r="F199" s="5">
        <x:f t="shared" si="27"/>
        <x:v>0</x:v>
      </x:c>
      <x:c r="G199" s="6"/>
      <x:c r="H199" s="299"/>
      <x:c r="I199" s="3"/>
      <x:c r="J199" s="3"/>
      <x:c r="K199" s="4"/>
      <x:c r="L199" s="4">
        <x:f t="shared" si="29"/>
        <x:v>0</x:v>
      </x:c>
      <x:c r="M199" s="5">
        <x:f t="shared" si="28"/>
        <x:v>0</x:v>
      </x:c>
      <x:c r="N199" s="6"/>
      <x:c r="V199" s="1"/>
    </x:row>
    <x:row r="200" spans="1:22" s="2" customFormat="1" ht="20.100000000000001" customHeight="1">
      <x:c r="A200" s="299"/>
      <x:c r="B200" s="3"/>
      <x:c r="C200" s="3"/>
      <x:c r="D200" s="4"/>
      <x:c r="E200" s="4"/>
      <x:c r="F200" s="5">
        <x:f t="shared" si="27"/>
        <x:v>0</x:v>
      </x:c>
      <x:c r="G200" s="6"/>
      <x:c r="H200" s="299"/>
      <x:c r="I200" s="3"/>
      <x:c r="J200" s="3"/>
      <x:c r="K200" s="4"/>
      <x:c r="L200" s="4">
        <x:f t="shared" si="29"/>
        <x:v>0</x:v>
      </x:c>
      <x:c r="M200" s="5">
        <x:f t="shared" si="28"/>
        <x:v>0</x:v>
      </x:c>
      <x:c r="N200" s="6"/>
      <x:c r="V200" s="1"/>
    </x:row>
    <x:row r="201" spans="1:22" s="2" customFormat="1" ht="20.100000000000001" customHeight="1">
      <x:c r="A201" s="300"/>
      <x:c r="B201" s="3"/>
      <x:c r="C201" s="3"/>
      <x:c r="D201" s="4"/>
      <x:c r="E201" s="4"/>
      <x:c r="F201" s="5">
        <x:f t="shared" si="27"/>
        <x:v>0</x:v>
      </x:c>
      <x:c r="G201" s="6"/>
      <x:c r="H201" s="300"/>
      <x:c r="I201" s="3"/>
      <x:c r="J201" s="3"/>
      <x:c r="K201" s="4"/>
      <x:c r="L201" s="4">
        <x:f t="shared" si="29"/>
        <x:v>0</x:v>
      </x:c>
      <x:c r="M201" s="5">
        <x:f t="shared" si="28"/>
        <x:v>0</x:v>
      </x:c>
      <x:c r="N201" s="6"/>
      <x:c r="V201" s="1"/>
    </x:row>
    <x:row r="202" spans="1:22" s="2" customFormat="1" ht="20.100000000000001" customHeight="1">
      <x:c r="A202" s="7" t="s">
        <x:v>155</x:v>
      </x:c>
      <x:c r="B202" s="8"/>
      <x:c r="C202" s="8"/>
      <x:c r="D202" s="9">
        <x:f>SUM(D186:D201)</x:f>
        <x:v>7960930</x:v>
      </x:c>
      <x:c r="E202" s="9">
        <x:f>SUM(E186:E201)</x:f>
        <x:v>796093</x:v>
      </x:c>
      <x:c r="F202" s="10">
        <x:f>SUM(F186:F201)</x:f>
        <x:v>8757023</x:v>
      </x:c>
      <x:c r="G202" s="11"/>
      <x:c r="H202" s="7"/>
      <x:c r="I202" s="8"/>
      <x:c r="J202" s="8"/>
      <x:c r="K202" s="9">
        <x:f>SUM(K186:K201)</x:f>
        <x:v>0</x:v>
      </x:c>
      <x:c r="L202" s="9">
        <x:f>SUM(L186:L201)</x:f>
        <x:v>0</x:v>
      </x:c>
      <x:c r="M202" s="10">
        <x:f>SUM(M186:M201)</x:f>
        <x:v>0</x:v>
      </x:c>
      <x:c r="N202" s="11"/>
      <x:c r="V202" s="1"/>
    </x:row>
    <x:row r="203" spans="1:22" s="2" customFormat="1" ht="20.100000000000001" customHeight="1">
      <x:c r="A203" s="301" t="s">
        <x:v>153</x:v>
      </x:c>
      <x:c r="B203" s="3" t="s">
        <x:v>1677</x:v>
      </x:c>
      <x:c r="C203" s="3" t="s">
        <x:v>1494</x:v>
      </x:c>
      <x:c r="D203" s="4">
        <x:v>5640000</x:v>
      </x:c>
      <x:c r="E203" s="4"/>
      <x:c r="F203" s="5">
        <x:f>+D203+E203</x:f>
        <x:v>5640000</x:v>
      </x:c>
      <x:c r="G203" s="180"/>
      <x:c r="H203" s="301" t="s">
        <x:v>153</x:v>
      </x:c>
      <x:c r="I203" s="3" t="s">
        <x:v>1677</x:v>
      </x:c>
      <x:c r="J203" s="3"/>
      <x:c r="K203" s="4"/>
      <x:c r="L203" s="4"/>
      <x:c r="M203" s="5">
        <x:f>+K203+L203</x:f>
        <x:v>0</x:v>
      </x:c>
      <x:c r="N203" s="6"/>
      <x:c r="V203" s="1"/>
    </x:row>
    <x:row r="204" spans="1:22" s="2" customFormat="1" ht="20.100000000000001" customHeight="1">
      <x:c r="A204" s="299"/>
      <x:c r="B204" s="3"/>
      <x:c r="C204" s="3"/>
      <x:c r="D204" s="4"/>
      <x:c r="E204" s="4"/>
      <x:c r="F204" s="5">
        <x:f>+D204+E204</x:f>
        <x:v>0</x:v>
      </x:c>
      <x:c r="G204" s="37"/>
      <x:c r="H204" s="299"/>
      <x:c r="I204" s="3"/>
      <x:c r="J204" s="3"/>
      <x:c r="K204" s="4"/>
      <x:c r="L204" s="4">
        <x:f>+K204*0.1</x:f>
        <x:v>0</x:v>
      </x:c>
      <x:c r="M204" s="5">
        <x:f>+K204+L204</x:f>
        <x:v>0</x:v>
      </x:c>
      <x:c r="N204" s="6"/>
      <x:c r="V204" s="1"/>
    </x:row>
    <x:row r="205" spans="1:22" s="2" customFormat="1" ht="20.100000000000001" customHeight="1">
      <x:c r="A205" s="299"/>
      <x:c r="B205" s="3"/>
      <x:c r="C205" s="3"/>
      <x:c r="D205" s="4"/>
      <x:c r="E205" s="4"/>
      <x:c r="F205" s="5">
        <x:f>+D205+E205</x:f>
        <x:v>0</x:v>
      </x:c>
      <x:c r="G205" s="6"/>
      <x:c r="H205" s="299"/>
      <x:c r="I205" s="3"/>
      <x:c r="J205" s="3"/>
      <x:c r="K205" s="4"/>
      <x:c r="L205" s="4">
        <x:f>+K205*0.1</x:f>
        <x:v>0</x:v>
      </x:c>
      <x:c r="M205" s="5">
        <x:f>+K205+L205</x:f>
        <x:v>0</x:v>
      </x:c>
      <x:c r="N205" s="6"/>
      <x:c r="V205" s="1"/>
    </x:row>
    <x:row r="206" spans="1:22" s="2" customFormat="1" ht="20.100000000000001" customHeight="1">
      <x:c r="A206" s="300"/>
      <x:c r="B206" s="3"/>
      <x:c r="C206" s="3"/>
      <x:c r="D206" s="4"/>
      <x:c r="E206" s="4"/>
      <x:c r="F206" s="5">
        <x:f>+D206+E206</x:f>
        <x:v>0</x:v>
      </x:c>
      <x:c r="G206" s="6"/>
      <x:c r="H206" s="300"/>
      <x:c r="I206" s="3"/>
      <x:c r="J206" s="3"/>
      <x:c r="K206" s="4"/>
      <x:c r="L206" s="4">
        <x:f>+K206*0.1</x:f>
        <x:v>0</x:v>
      </x:c>
      <x:c r="M206" s="5">
        <x:f>+K206+L206</x:f>
        <x:v>0</x:v>
      </x:c>
      <x:c r="N206" s="6"/>
      <x:c r="V206" s="1"/>
    </x:row>
    <x:row r="207" spans="1:22" s="2" customFormat="1" ht="20.100000000000001" customHeight="1">
      <x:c r="A207" s="7" t="s">
        <x:v>155</x:v>
      </x:c>
      <x:c r="B207" s="8"/>
      <x:c r="C207" s="8"/>
      <x:c r="D207" s="9">
        <x:f>SUM(D203:D206)</x:f>
        <x:v>5640000</x:v>
      </x:c>
      <x:c r="E207" s="9">
        <x:f>SUM(E203:E206)</x:f>
        <x:v>0</x:v>
      </x:c>
      <x:c r="F207" s="10">
        <x:f>SUM(F203:F206)</x:f>
        <x:v>5640000</x:v>
      </x:c>
      <x:c r="G207" s="11"/>
      <x:c r="H207" s="7"/>
      <x:c r="I207" s="8"/>
      <x:c r="J207" s="8"/>
      <x:c r="K207" s="9">
        <x:f>SUM(K203:K206)</x:f>
        <x:v>0</x:v>
      </x:c>
      <x:c r="L207" s="9">
        <x:f>SUM(L203:L206)</x:f>
        <x:v>0</x:v>
      </x:c>
      <x:c r="M207" s="10">
        <x:f>SUM(M203:M206)</x:f>
        <x:v>0</x:v>
      </x:c>
      <x:c r="N207" s="11"/>
      <x:c r="V207" s="1"/>
    </x:row>
    <x:row r="208" spans="1:22" s="2" customFormat="1" ht="20.100000000000001" customHeight="1">
      <x:c r="A208" s="301" t="s">
        <x:v>187</x:v>
      </x:c>
      <x:c r="B208" s="3" t="s">
        <x:v>1124</x:v>
      </x:c>
      <x:c r="C208" s="3" t="s">
        <x:v>1006</x:v>
      </x:c>
      <x:c r="D208" s="4"/>
      <x:c r="E208" s="4"/>
      <x:c r="F208" s="5">
        <x:f>+D208+E208</x:f>
        <x:v>0</x:v>
      </x:c>
      <x:c r="G208" s="180"/>
      <x:c r="H208" s="301" t="s">
        <x:v>187</x:v>
      </x:c>
      <x:c r="I208" s="3"/>
      <x:c r="J208" s="3"/>
      <x:c r="K208" s="4"/>
      <x:c r="L208" s="4">
        <x:f>+K208*0.1</x:f>
        <x:v>0</x:v>
      </x:c>
      <x:c r="M208" s="5">
        <x:f>+K208+L208</x:f>
        <x:v>0</x:v>
      </x:c>
      <x:c r="N208" s="6"/>
      <x:c r="V208" s="1"/>
    </x:row>
    <x:row r="209" spans="1:22" s="2" customFormat="1" ht="20.100000000000001" customHeight="1">
      <x:c r="A209" s="299"/>
      <x:c r="B209" s="3"/>
      <x:c r="C209" s="3"/>
      <x:c r="D209" s="4"/>
      <x:c r="E209" s="4"/>
      <x:c r="F209" s="5">
        <x:f>+D209+E209</x:f>
        <x:v>0</x:v>
      </x:c>
      <x:c r="G209" s="180"/>
      <x:c r="H209" s="299"/>
      <x:c r="I209" s="3"/>
      <x:c r="J209" s="3"/>
      <x:c r="K209" s="4"/>
      <x:c r="L209" s="4">
        <x:f>+K209*0.1</x:f>
        <x:v>0</x:v>
      </x:c>
      <x:c r="M209" s="5">
        <x:f>+K209+L209</x:f>
        <x:v>0</x:v>
      </x:c>
      <x:c r="N209" s="6"/>
      <x:c r="V209" s="1"/>
    </x:row>
    <x:row r="210" spans="1:22" s="2" customFormat="1" ht="20.100000000000001" customHeight="1">
      <x:c r="A210" s="299"/>
      <x:c r="B210" s="3"/>
      <x:c r="C210" s="3"/>
      <x:c r="D210" s="4"/>
      <x:c r="E210" s="4"/>
      <x:c r="F210" s="5">
        <x:f>+D210+E210</x:f>
        <x:v>0</x:v>
      </x:c>
      <x:c r="G210" s="180"/>
      <x:c r="H210" s="299"/>
      <x:c r="I210" s="3"/>
      <x:c r="J210" s="3"/>
      <x:c r="K210" s="4"/>
      <x:c r="L210" s="4">
        <x:f>+K210*0.1</x:f>
        <x:v>0</x:v>
      </x:c>
      <x:c r="M210" s="5">
        <x:f>+K210+L210</x:f>
        <x:v>0</x:v>
      </x:c>
      <x:c r="N210" s="6"/>
      <x:c r="V210" s="1"/>
    </x:row>
    <x:row r="211" spans="1:22" s="2" customFormat="1" ht="20.100000000000001" customHeight="1">
      <x:c r="A211" s="300"/>
      <x:c r="B211" s="3"/>
      <x:c r="C211" s="3"/>
      <x:c r="D211" s="4"/>
      <x:c r="E211" s="4"/>
      <x:c r="F211" s="5">
        <x:f>+D211+E211</x:f>
        <x:v>0</x:v>
      </x:c>
      <x:c r="G211" s="6"/>
      <x:c r="H211" s="300"/>
      <x:c r="I211" s="3"/>
      <x:c r="J211" s="3"/>
      <x:c r="K211" s="4"/>
      <x:c r="L211" s="4">
        <x:f>+K211*0.1</x:f>
        <x:v>0</x:v>
      </x:c>
      <x:c r="M211" s="5">
        <x:f>+K211+L211</x:f>
        <x:v>0</x:v>
      </x:c>
      <x:c r="N211" s="6"/>
      <x:c r="V211" s="1"/>
    </x:row>
    <x:row r="212" spans="1:22" s="2" customFormat="1" ht="20.100000000000001" customHeight="1">
      <x:c r="A212" s="7" t="s">
        <x:v>155</x:v>
      </x:c>
      <x:c r="B212" s="8"/>
      <x:c r="C212" s="8"/>
      <x:c r="D212" s="9">
        <x:f>SUM(D208:D211)</x:f>
        <x:v>0</x:v>
      </x:c>
      <x:c r="E212" s="9">
        <x:f>SUM(E208:E211)</x:f>
        <x:v>0</x:v>
      </x:c>
      <x:c r="F212" s="10">
        <x:f>SUM(F208:F211)</x:f>
        <x:v>0</x:v>
      </x:c>
      <x:c r="G212" s="11"/>
      <x:c r="H212" s="7"/>
      <x:c r="I212" s="8"/>
      <x:c r="J212" s="8"/>
      <x:c r="K212" s="9">
        <x:f>SUM(K208:K211)</x:f>
        <x:v>0</x:v>
      </x:c>
      <x:c r="L212" s="9">
        <x:f>SUM(L208:L211)</x:f>
        <x:v>0</x:v>
      </x:c>
      <x:c r="M212" s="10">
        <x:f>SUM(M208:M211)</x:f>
        <x:v>0</x:v>
      </x:c>
      <x:c r="N212" s="11"/>
      <x:c r="V212" s="1"/>
    </x:row>
    <x:row r="213" spans="1:22" s="2" customFormat="1" ht="20.100000000000001" customHeight="1">
      <x:c r="A213" s="301" t="s">
        <x:v>149</x:v>
      </x:c>
      <x:c r="B213" s="3" t="s">
        <x:v>309</x:v>
      </x:c>
      <x:c r="C213" s="3" t="s">
        <x:v>149</x:v>
      </x:c>
      <x:c r="D213" s="4">
        <x:v>489410</x:v>
      </x:c>
      <x:c r="E213" s="4"/>
      <x:c r="F213" s="5">
        <x:f t="shared" ref="F213:F220" si="30">+D213+E213</x:f>
        <x:v>489410</x:v>
      </x:c>
      <x:c r="G213" s="229"/>
      <x:c r="H213" s="301" t="s">
        <x:v>149</x:v>
      </x:c>
      <x:c r="I213" s="3"/>
      <x:c r="J213" s="3" t="s">
        <x:v>149</x:v>
      </x:c>
      <x:c r="K213" s="4"/>
      <x:c r="L213" s="4"/>
      <x:c r="M213" s="5">
        <x:f t="shared" ref="M213:M220" si="31">+K213+L213</x:f>
        <x:v>0</x:v>
      </x:c>
      <x:c r="N213" s="6"/>
      <x:c r="V213" s="1"/>
    </x:row>
    <x:row r="214" spans="1:22" s="2" customFormat="1" ht="20.100000000000001" customHeight="1">
      <x:c r="A214" s="299"/>
      <x:c r="B214" s="3"/>
      <x:c r="C214" s="3"/>
      <x:c r="D214" s="4"/>
      <x:c r="E214" s="4"/>
      <x:c r="F214" s="5">
        <x:f t="shared" si="30"/>
        <x:v>0</x:v>
      </x:c>
      <x:c r="G214" s="6"/>
      <x:c r="H214" s="299"/>
      <x:c r="I214" s="3" t="s">
        <x:v>1341</x:v>
      </x:c>
      <x:c r="J214" s="3" t="s">
        <x:v>1496</x:v>
      </x:c>
      <x:c r="K214" s="4"/>
      <x:c r="L214" s="4">
        <x:f>+K214*0.1</x:f>
        <x:v>0</x:v>
      </x:c>
      <x:c r="M214" s="5">
        <x:f t="shared" si="31"/>
        <x:v>0</x:v>
      </x:c>
      <x:c r="N214" s="6"/>
      <x:c r="V214" s="1"/>
    </x:row>
    <x:row r="215" spans="1:22" s="2" customFormat="1" ht="20.100000000000001" customHeight="1">
      <x:c r="A215" s="299"/>
      <x:c r="B215" s="3"/>
      <x:c r="C215" s="3"/>
      <x:c r="D215" s="4"/>
      <x:c r="E215" s="4"/>
      <x:c r="F215" s="5">
        <x:f t="shared" si="30"/>
        <x:v>0</x:v>
      </x:c>
      <x:c r="G215" s="6"/>
      <x:c r="H215" s="299"/>
      <x:c r="I215" s="3"/>
      <x:c r="J215" s="3"/>
      <x:c r="K215" s="4"/>
      <x:c r="L215" s="4"/>
      <x:c r="M215" s="5">
        <x:f t="shared" si="31"/>
        <x:v>0</x:v>
      </x:c>
      <x:c r="N215" s="6"/>
      <x:c r="V215" s="1"/>
    </x:row>
    <x:row r="216" spans="1:22" s="2" customFormat="1" ht="20.100000000000001" customHeight="1">
      <x:c r="A216" s="299"/>
      <x:c r="B216" s="3"/>
      <x:c r="C216" s="3"/>
      <x:c r="D216" s="4"/>
      <x:c r="E216" s="4"/>
      <x:c r="F216" s="5">
        <x:f t="shared" si="30"/>
        <x:v>0</x:v>
      </x:c>
      <x:c r="G216" s="6"/>
      <x:c r="H216" s="299"/>
      <x:c r="I216" s="3"/>
      <x:c r="J216" s="3"/>
      <x:c r="K216" s="4"/>
      <x:c r="L216" s="4">
        <x:f>+K216*0.1</x:f>
        <x:v>0</x:v>
      </x:c>
      <x:c r="M216" s="5">
        <x:f t="shared" si="31"/>
        <x:v>0</x:v>
      </x:c>
      <x:c r="N216" s="6"/>
      <x:c r="V216" s="1"/>
    </x:row>
    <x:row r="217" spans="1:22" s="2" customFormat="1" ht="20.100000000000001" customHeight="1">
      <x:c r="A217" s="299"/>
      <x:c r="B217" s="3"/>
      <x:c r="C217" s="3"/>
      <x:c r="D217" s="4"/>
      <x:c r="E217" s="4"/>
      <x:c r="F217" s="5">
        <x:f t="shared" si="30"/>
        <x:v>0</x:v>
      </x:c>
      <x:c r="G217" s="6"/>
      <x:c r="H217" s="299"/>
      <x:c r="I217" s="3"/>
      <x:c r="J217" s="3"/>
      <x:c r="K217" s="4"/>
      <x:c r="L217" s="4">
        <x:f>+K217*0.1</x:f>
        <x:v>0</x:v>
      </x:c>
      <x:c r="M217" s="5">
        <x:f t="shared" si="31"/>
        <x:v>0</x:v>
      </x:c>
      <x:c r="N217" s="6"/>
      <x:c r="V217" s="1"/>
    </x:row>
    <x:row r="218" spans="1:22" s="2" customFormat="1" ht="20.100000000000001" customHeight="1">
      <x:c r="A218" s="299"/>
      <x:c r="B218" s="3"/>
      <x:c r="C218" s="3"/>
      <x:c r="D218" s="4"/>
      <x:c r="E218" s="4"/>
      <x:c r="F218" s="5">
        <x:f t="shared" si="30"/>
        <x:v>0</x:v>
      </x:c>
      <x:c r="G218" s="6"/>
      <x:c r="H218" s="299"/>
      <x:c r="I218" s="3"/>
      <x:c r="J218" s="3"/>
      <x:c r="K218" s="4"/>
      <x:c r="L218" s="4">
        <x:f>+K218*0.1</x:f>
        <x:v>0</x:v>
      </x:c>
      <x:c r="M218" s="5">
        <x:f t="shared" si="31"/>
        <x:v>0</x:v>
      </x:c>
      <x:c r="N218" s="6"/>
      <x:c r="V218" s="1"/>
    </x:row>
    <x:row r="219" spans="1:22" s="2" customFormat="1" ht="20.100000000000001" customHeight="1">
      <x:c r="A219" s="299"/>
      <x:c r="B219" s="3"/>
      <x:c r="C219" s="3"/>
      <x:c r="D219" s="4"/>
      <x:c r="E219" s="4"/>
      <x:c r="F219" s="5">
        <x:f t="shared" si="30"/>
        <x:v>0</x:v>
      </x:c>
      <x:c r="G219" s="6"/>
      <x:c r="H219" s="299"/>
      <x:c r="I219" s="3"/>
      <x:c r="J219" s="3"/>
      <x:c r="K219" s="4"/>
      <x:c r="L219" s="4">
        <x:f t="shared" ref="L219:L222" si="32">+K219*0.1</x:f>
        <x:v>0</x:v>
      </x:c>
      <x:c r="M219" s="5">
        <x:f t="shared" si="31"/>
        <x:v>0</x:v>
      </x:c>
      <x:c r="N219" s="6"/>
      <x:c r="V219" s="1"/>
    </x:row>
    <x:row r="220" spans="1:22" s="2" customFormat="1" ht="20.100000000000001" customHeight="1">
      <x:c r="A220" s="299"/>
      <x:c r="B220" s="3"/>
      <x:c r="C220" s="3"/>
      <x:c r="D220" s="4"/>
      <x:c r="E220" s="4"/>
      <x:c r="F220" s="5">
        <x:f t="shared" si="30"/>
        <x:v>0</x:v>
      </x:c>
      <x:c r="G220" s="6"/>
      <x:c r="H220" s="299"/>
      <x:c r="I220" s="3"/>
      <x:c r="J220" s="3"/>
      <x:c r="K220" s="4"/>
      <x:c r="L220" s="4">
        <x:f t="shared" si="32"/>
        <x:v>0</x:v>
      </x:c>
      <x:c r="M220" s="5">
        <x:f t="shared" si="31"/>
        <x:v>0</x:v>
      </x:c>
      <x:c r="N220" s="6"/>
      <x:c r="V220" s="1"/>
    </x:row>
    <x:row r="221" spans="1:22" s="2" customFormat="1" ht="20.100000000000001" customHeight="1">
      <x:c r="A221" s="299"/>
      <x:c r="B221" s="3"/>
      <x:c r="C221" s="3"/>
      <x:c r="D221" s="4"/>
      <x:c r="E221" s="4"/>
      <x:c r="F221" s="5"/>
      <x:c r="G221" s="6"/>
      <x:c r="H221" s="299"/>
      <x:c r="I221" s="3"/>
      <x:c r="J221" s="3"/>
      <x:c r="K221" s="4"/>
      <x:c r="L221" s="4">
        <x:f t="shared" si="32"/>
        <x:v>0</x:v>
      </x:c>
      <x:c r="M221" s="5"/>
      <x:c r="N221" s="6"/>
      <x:c r="V221" s="1"/>
    </x:row>
    <x:row r="222" spans="1:22" s="2" customFormat="1" ht="20.100000000000001" customHeight="1">
      <x:c r="A222" s="300"/>
      <x:c r="B222" s="3"/>
      <x:c r="C222" s="3"/>
      <x:c r="D222" s="4"/>
      <x:c r="E222" s="4"/>
      <x:c r="F222" s="5">
        <x:f>+D222+E222</x:f>
        <x:v>0</x:v>
      </x:c>
      <x:c r="G222" s="6"/>
      <x:c r="H222" s="300"/>
      <x:c r="I222" s="3"/>
      <x:c r="J222" s="3"/>
      <x:c r="K222" s="4"/>
      <x:c r="L222" s="4">
        <x:f t="shared" si="32"/>
        <x:v>0</x:v>
      </x:c>
      <x:c r="M222" s="5">
        <x:f>+K222+L222</x:f>
        <x:v>0</x:v>
      </x:c>
      <x:c r="N222" s="6"/>
      <x:c r="V222" s="1"/>
    </x:row>
    <x:row r="223" spans="1:22" s="2" customFormat="1" ht="20.100000000000001" customHeight="1">
      <x:c r="A223" s="7" t="s">
        <x:v>155</x:v>
      </x:c>
      <x:c r="B223" s="8"/>
      <x:c r="C223" s="8"/>
      <x:c r="D223" s="9">
        <x:f>SUM(D213:D222)</x:f>
        <x:v>489410</x:v>
      </x:c>
      <x:c r="E223" s="9">
        <x:f>SUM(E213:E222)</x:f>
        <x:v>0</x:v>
      </x:c>
      <x:c r="F223" s="10">
        <x:f>SUM(F213:F222)</x:f>
        <x:v>489410</x:v>
      </x:c>
      <x:c r="G223" s="11"/>
      <x:c r="H223" s="7"/>
      <x:c r="I223" s="8"/>
      <x:c r="J223" s="8"/>
      <x:c r="K223" s="9">
        <x:f>SUM(K213:K222)</x:f>
        <x:v>0</x:v>
      </x:c>
      <x:c r="L223" s="9">
        <x:f>SUM(L213:L222)</x:f>
        <x:v>0</x:v>
      </x:c>
      <x:c r="M223" s="10">
        <x:f>SUM(M213:M222)</x:f>
        <x:v>0</x:v>
      </x:c>
      <x:c r="N223" s="11"/>
      <x:c r="V223" s="1"/>
    </x:row>
    <x:row r="224" spans="1:22" s="2" customFormat="1" ht="20.100000000000001" customHeight="1">
      <x:c r="A224" s="12" t="s">
        <x:v>1690</x:v>
      </x:c>
      <x:c r="B224" s="13"/>
      <x:c r="C224" s="13"/>
      <x:c r="D224" s="14">
        <x:f>+D202+D207+D212+D223</x:f>
        <x:v>14090340</x:v>
      </x:c>
      <x:c r="E224" s="14">
        <x:f>+E202+E207+E212+E223</x:f>
        <x:v>796093</x:v>
      </x:c>
      <x:c r="F224" s="15">
        <x:f>+F202+F207+F212+F223</x:f>
        <x:v>14886433</x:v>
      </x:c>
      <x:c r="G224" s="16"/>
      <x:c r="H224" s="12"/>
      <x:c r="I224" s="13"/>
      <x:c r="J224" s="13"/>
      <x:c r="K224" s="14">
        <x:f>+K202+K207+K212+K223</x:f>
        <x:v>0</x:v>
      </x:c>
      <x:c r="L224" s="14">
        <x:f>+L202+L207+L212+L223</x:f>
        <x:v>0</x:v>
      </x:c>
      <x:c r="M224" s="15">
        <x:f>+M202+M207+M212+M223</x:f>
        <x:v>0</x:v>
      </x:c>
      <x:c r="N224" s="16"/>
      <x:c r="V224" s="1"/>
    </x:row>
    <x:row r="225" spans="1:22" s="2" customFormat="1" ht="20.100000000000001" customHeight="1">
      <x:c r="A225" s="23" t="s">
        <x:v>35</x:v>
      </x:c>
      <x:c r="B225" s="24"/>
      <x:c r="C225" s="24"/>
      <x:c r="D225" s="25">
        <x:f>+D185-D224</x:f>
        <x:v>34609660</x:v>
      </x:c>
      <x:c r="E225" s="25">
        <x:f>+E185-E224</x:f>
        <x:v>4073907</x:v>
      </x:c>
      <x:c r="F225" s="26">
        <x:f>+F185-F224</x:f>
        <x:v>38683567</x:v>
      </x:c>
      <x:c r="G225" s="27"/>
      <x:c r="H225" s="23"/>
      <x:c r="I225" s="24"/>
      <x:c r="J225" s="24"/>
      <x:c r="K225" s="25">
        <x:f>+K185-K224</x:f>
        <x:v>0</x:v>
      </x:c>
      <x:c r="L225" s="25">
        <x:f>+L185-L224</x:f>
        <x:v>0</x:v>
      </x:c>
      <x:c r="M225" s="26">
        <x:f>+M185-M224</x:f>
        <x:v>0</x:v>
      </x:c>
      <x:c r="N225" s="27"/>
      <x:c r="V225" s="1"/>
    </x:row>
  </x:sheetData>
  <x:mergeCells count="52">
    <x:mergeCell ref="A1:N1"/>
    <x:mergeCell ref="O1:S1"/>
    <x:mergeCell ref="A2:G2"/>
    <x:mergeCell ref="H2:N2"/>
    <x:mergeCell ref="A5:A18"/>
    <x:mergeCell ref="H5:H18"/>
    <x:mergeCell ref="A20:A25"/>
    <x:mergeCell ref="H20:H25"/>
    <x:mergeCell ref="A27:A30"/>
    <x:mergeCell ref="H27:H30"/>
    <x:mergeCell ref="A32:A42"/>
    <x:mergeCell ref="H32:H42"/>
    <x:mergeCell ref="A46:G46"/>
    <x:mergeCell ref="H46:N46"/>
    <x:mergeCell ref="A49:A65"/>
    <x:mergeCell ref="H49:H65"/>
    <x:mergeCell ref="A67:A70"/>
    <x:mergeCell ref="H67:H70"/>
    <x:mergeCell ref="A72:A77"/>
    <x:mergeCell ref="H72:H77"/>
    <x:mergeCell ref="A79:A91"/>
    <x:mergeCell ref="H79:H91"/>
    <x:mergeCell ref="A95:G95"/>
    <x:mergeCell ref="H95:N95"/>
    <x:mergeCell ref="A98:A118"/>
    <x:mergeCell ref="H98:H118"/>
    <x:mergeCell ref="A120:A123"/>
    <x:mergeCell ref="H120:H123"/>
    <x:mergeCell ref="A125:A127"/>
    <x:mergeCell ref="H125:H127"/>
    <x:mergeCell ref="A129:A136"/>
    <x:mergeCell ref="H129:H136"/>
    <x:mergeCell ref="A140:G140"/>
    <x:mergeCell ref="H140:N140"/>
    <x:mergeCell ref="A143:A158"/>
    <x:mergeCell ref="H143:H158"/>
    <x:mergeCell ref="A160:A163"/>
    <x:mergeCell ref="H160:H163"/>
    <x:mergeCell ref="A165:A168"/>
    <x:mergeCell ref="H165:H168"/>
    <x:mergeCell ref="A170:A179"/>
    <x:mergeCell ref="H170:H179"/>
    <x:mergeCell ref="A208:A211"/>
    <x:mergeCell ref="H208:H211"/>
    <x:mergeCell ref="A213:A222"/>
    <x:mergeCell ref="H213:H222"/>
    <x:mergeCell ref="A183:G183"/>
    <x:mergeCell ref="H183:N183"/>
    <x:mergeCell ref="A186:A201"/>
    <x:mergeCell ref="H186:H201"/>
    <x:mergeCell ref="A203:A206"/>
    <x:mergeCell ref="H203:H206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4" manualBreakCount="4">
    <x:brk id="45" min="0" max="1048575" man="1" pt="0"/>
    <x:brk id="94" min="0" max="1048575" man="1" pt="0"/>
    <x:brk id="139" min="0" max="1048575" man="1" pt="0"/>
    <x:brk id="182" min="0" max="1048575" man="1" pt="0"/>
  </x:rowBreaks>
</x:worksheet>
</file>

<file path=xl/worksheets/sheet6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9"/>
  <x:dimension ref="A1:S117"/>
  <x:sheetViews>
    <x:sheetView view="pageBreakPreview" topLeftCell="A1" zoomScaleNormal="100" zoomScaleSheetLayoutView="100" workbookViewId="0">
      <x:selection activeCell="H5" activeCellId="0" sqref="H5:H18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1813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34"/>
      <x:c r="C2" s="234"/>
      <x:c r="D2" s="234"/>
      <x:c r="E2" s="234"/>
      <x:c r="F2" s="234"/>
      <x:c r="G2" s="234"/>
      <x:c r="H2" s="234"/>
      <x:c r="I2" s="234"/>
      <x:c r="J2" s="234"/>
      <x:c r="K2" s="234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36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'21년11월(세부내역-실)'!D4</x:f>
        <x:v>277280000</x:v>
      </x:c>
      <x:c r="F5" s="67">
        <x:f>'21년11월(세부내역-실)'!D19</x:f>
        <x:v>93682730</x:v>
      </x:c>
      <x:c r="G5" s="67">
        <x:f>'21년11월(세부내역-실)'!D26</x:f>
        <x:v>116280000</x:v>
      </x:c>
      <x:c r="H5" s="67">
        <x:f>'21년11월(세부내역-실)'!D31</x:f>
        <x:v>960000</x:v>
      </x:c>
      <x:c r="I5" s="67">
        <x:f>'21년11월(세부내역-실)'!D43</x:f>
        <x:v>3481044</x:v>
      </x:c>
      <x:c r="J5" s="75">
        <x:f t="shared" ref="J5:J12" si="0">+SUM(F5:I5)</x:f>
        <x:v>214403774</x:v>
      </x:c>
      <x:c r="K5" s="141">
        <x:f t="shared" ref="K5:K14" si="1">E5-J5</x:f>
        <x:v>62876226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553</x:v>
      </x:c>
      <x:c r="C6" s="63" t="s">
        <x:v>791</x:v>
      </x:c>
      <x:c r="D6" s="115" t="s">
        <x:v>551</x:v>
      </x:c>
      <x:c r="E6" s="74">
        <x:f>'21년11월(세부내역-실)'!K4</x:f>
        <x:v>0</x:v>
      </x:c>
      <x:c r="F6" s="59">
        <x:f>+'21년11월(세부내역-실)'!K19</x:f>
        <x:v>357800</x:v>
      </x:c>
      <x:c r="G6" s="59">
        <x:f>'21년11월(세부내역-실)'!K26</x:f>
        <x:v>0</x:v>
      </x:c>
      <x:c r="H6" s="59">
        <x:f>'21년11월(세부내역-실)'!K31</x:f>
        <x:v>0</x:v>
      </x:c>
      <x:c r="I6" s="59">
        <x:f>'21년11월(세부내역-실)'!K43</x:f>
        <x:v>0</x:v>
      </x:c>
      <x:c r="J6" s="75">
        <x:f t="shared" si="0"/>
        <x:v>357800</x:v>
      </x:c>
      <x:c r="K6" s="140">
        <x:f t="shared" si="1"/>
        <x:v>-357800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'21년11월(세부내역-실)'!K48</x:f>
        <x:v>138800000</x:v>
      </x:c>
      <x:c r="F7" s="59">
        <x:f>'21년11월(세부내역-실)'!K66</x:f>
        <x:v>58439900</x:v>
      </x:c>
      <x:c r="G7" s="59">
        <x:f>'21년11월(세부내역-실)'!K71</x:f>
        <x:v>57690000</x:v>
      </x:c>
      <x:c r="H7" s="59">
        <x:f>'21년11월(세부내역-실)'!K78</x:f>
        <x:v>1856000</x:v>
      </x:c>
      <x:c r="I7" s="59">
        <x:f>'21년11월(세부내역-실)'!K92</x:f>
        <x:v>5886830</x:v>
      </x:c>
      <x:c r="J7" s="75">
        <x:f t="shared" si="0"/>
        <x:v>123872730</x:v>
      </x:c>
      <x:c r="K7" s="141">
        <x:f t="shared" si="1"/>
        <x:v>14927270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135</x:v>
      </x:c>
      <x:c r="E8" s="74">
        <x:f>'21년11월(세부내역-실)'!D97</x:f>
        <x:v>0</x:v>
      </x:c>
      <x:c r="F8" s="59">
        <x:f>'21년11월(세부내역-실)'!D120</x:f>
        <x:v>19868260</x:v>
      </x:c>
      <x:c r="G8" s="59">
        <x:f>'21년11월(세부내역-실)'!D125</x:f>
        <x:v>11696000</x:v>
      </x:c>
      <x:c r="H8" s="59">
        <x:f>'21년11월(세부내역-실)'!D129</x:f>
        <x:v>810000</x:v>
      </x:c>
      <x:c r="I8" s="59">
        <x:f>'21년11월(세부내역-실)'!D138</x:f>
        <x:v>1049870</x:v>
      </x:c>
      <x:c r="J8" s="75">
        <x:f t="shared" si="0"/>
        <x:v>33424130</x:v>
      </x:c>
      <x:c r="K8" s="141">
        <x:f t="shared" si="1"/>
        <x:v>-33424130</x:v>
      </x:c>
      <x:c r="L8" s="204"/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'21년11월(세부내역-실)'!K97</x:f>
        <x:v>179790540</x:v>
      </x:c>
      <x:c r="F9" s="59">
        <x:f>'21년11월(세부내역-실)'!K120</x:f>
        <x:v>192136644</x:v>
      </x:c>
      <x:c r="G9" s="59">
        <x:f>'21년11월(세부내역-실)'!K125</x:f>
        <x:v>32320000</x:v>
      </x:c>
      <x:c r="H9" s="59">
        <x:f>'21년11월(세부내역-실)'!K129</x:f>
        <x:v>0</x:v>
      </x:c>
      <x:c r="I9" s="59">
        <x:f>'21년11월(세부내역-실)'!K138</x:f>
        <x:v>2632514</x:v>
      </x:c>
      <x:c r="J9" s="75">
        <x:f t="shared" si="0"/>
        <x:v>227089158</x:v>
      </x:c>
      <x:c r="K9" s="141">
        <x:f t="shared" si="1"/>
        <x:v>-47298618</x:v>
      </x:c>
      <x:c r="L9" s="204" t="s">
        <x:v>531</x:v>
      </x:c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125</x:v>
      </x:c>
      <x:c r="E10" s="74">
        <x:f>'21년11월(세부내역-실)'!D143</x:f>
        <x:v>45060000</x:v>
      </x:c>
      <x:c r="F10" s="59">
        <x:f>'21년11월(세부내역-실)'!D160</x:f>
        <x:v>26878000</x:v>
      </x:c>
      <x:c r="G10" s="59">
        <x:f>'21년11월(세부내역-실)'!D165</x:f>
        <x:v>13450000</x:v>
      </x:c>
      <x:c r="H10" s="59">
        <x:f>'21년11월(세부내역-실)'!D170</x:f>
        <x:v>0</x:v>
      </x:c>
      <x:c r="I10" s="59">
        <x:f>'21년11월(세부내역-실)'!D181</x:f>
        <x:v>0</x:v>
      </x:c>
      <x:c r="J10" s="75">
        <x:f t="shared" si="0"/>
        <x:v>40328000</x:v>
      </x:c>
      <x:c r="K10" s="141">
        <x:f t="shared" si="1"/>
        <x:v>4732000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'21년11월(세부내역-실)'!D48</x:f>
        <x:v>485800000</x:v>
      </x:c>
      <x:c r="F11" s="59">
        <x:f>+'21년11월(세부내역-실)'!D66</x:f>
        <x:v>256014258</x:v>
      </x:c>
      <x:c r="G11" s="59">
        <x:f>'21년11월(세부내역-실)'!D71</x:f>
        <x:v>104688400</x:v>
      </x:c>
      <x:c r="H11" s="59">
        <x:f>'21년11월(세부내역-실)'!D78</x:f>
        <x:v>4790000</x:v>
      </x:c>
      <x:c r="I11" s="59">
        <x:f>'21년11월(세부내역-실)'!D92</x:f>
        <x:v>2699000</x:v>
      </x:c>
      <x:c r="J11" s="75">
        <x:f t="shared" si="0"/>
        <x:v>368191658</x:v>
      </x:c>
      <x:c r="K11" s="141">
        <x:f>E11-J11</x:f>
        <x:v>117608342</x:v>
      </x:c>
      <x:c r="L11" s="205" t="s">
        <x:v>552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'21년11월(세부내역-실)'!K143</x:f>
        <x:v>0</x:v>
      </x:c>
      <x:c r="F12" s="59">
        <x:f>'21년11월(세부내역-실)'!K160</x:f>
        <x:v>31395017</x:v>
      </x:c>
      <x:c r="G12" s="59">
        <x:f>+'21년11월(세부내역-실)'!K165</x:f>
        <x:v>20190000</x:v>
      </x:c>
      <x:c r="H12" s="59">
        <x:f>+'21년11월(세부내역-실)'!K170</x:f>
        <x:v>480000</x:v>
      </x:c>
      <x:c r="I12" s="59">
        <x:f>+'21년11월(세부내역-실)'!K181</x:f>
        <x:v>9570098</x:v>
      </x:c>
      <x:c r="J12" s="75">
        <x:f t="shared" si="0"/>
        <x:v>61635115</x:v>
      </x:c>
      <x:c r="K12" s="141">
        <x:f t="shared" si="1"/>
        <x:v>-61635115</x:v>
      </x:c>
      <x:c r="L12" s="204"/>
    </x:row>
    <x:row r="13" spans="1:12" ht="30" customHeight="1">
      <x:c r="A13" s="63">
        <x:v>9</x:v>
      </x:c>
      <x:c r="B13" s="63" t="s">
        <x:v>438</x:v>
      </x:c>
      <x:c r="C13" s="63" t="s">
        <x:v>1065</x:v>
      </x:c>
      <x:c r="D13" s="115" t="s">
        <x:v>536</x:v>
      </x:c>
      <x:c r="E13" s="74">
        <x:f>'21년11월(세부내역-실)'!D186</x:f>
        <x:v>48700000</x:v>
      </x:c>
      <x:c r="F13" s="59">
        <x:f>'21년11월(세부내역-실)'!D203</x:f>
        <x:v>7960930</x:v>
      </x:c>
      <x:c r="G13" s="59">
        <x:f>'21년11월(세부내역-실)'!D208</x:f>
        <x:v>5640000</x:v>
      </x:c>
      <x:c r="H13" s="59">
        <x:f>'21년11월(세부내역-실)'!D213</x:f>
        <x:v>0</x:v>
      </x:c>
      <x:c r="I13" s="59">
        <x:f>'21년11월(세부내역-실)'!D224</x:f>
        <x:v>489410</x:v>
      </x:c>
      <x:c r="J13" s="75">
        <x:f>+SUM(F13:I13)</x:f>
        <x:v>14090340</x:v>
      </x:c>
      <x:c r="K13" s="141">
        <x:f t="shared" si="1"/>
        <x:v>34609660</x:v>
      </x:c>
      <x:c r="L13" s="204"/>
    </x:row>
    <x:row r="14" spans="1:12" ht="30" customHeight="1">
      <x:c r="A14" s="63">
        <x:v>10</x:v>
      </x:c>
      <x:c r="B14" s="63" t="s">
        <x:v>560</x:v>
      </x:c>
      <x:c r="C14" s="63" t="s">
        <x:v>156</x:v>
      </x:c>
      <x:c r="D14" s="115" t="s">
        <x:v>564</x:v>
      </x:c>
      <x:c r="E14" s="74">
        <x:f>'21년11월(세부내역-실)'!K186</x:f>
        <x:v>0</x:v>
      </x:c>
      <x:c r="F14" s="59">
        <x:f>'21년11월(세부내역-실)'!K203</x:f>
        <x:v>0</x:v>
      </x:c>
      <x:c r="G14" s="59">
        <x:f>'21년11월(세부내역-실)'!K208</x:f>
        <x:v>0</x:v>
      </x:c>
      <x:c r="H14" s="59">
        <x:f>'21년11월(세부내역-실)'!K213</x:f>
        <x:v>0</x:v>
      </x:c>
      <x:c r="I14" s="59">
        <x:f>'21년11월(세부내역-실)'!K224</x:f>
        <x:v>0</x:v>
      </x:c>
      <x:c r="J14" s="75">
        <x:f>+SUM(F14:I14)</x:f>
        <x:v>0</x:v>
      </x:c>
      <x:c r="K14" s="141">
        <x:f t="shared" si="1"/>
        <x:v>0</x:v>
      </x:c>
      <x:c r="L14" s="204"/>
    </x:row>
    <x:row r="15" spans="1:12" ht="30" customHeight="1">
      <x:c r="A15" s="64"/>
      <x:c r="B15" s="64" t="s">
        <x:v>1690</x:v>
      </x:c>
      <x:c r="C15" s="64"/>
      <x:c r="D15" s="64"/>
      <x:c r="E15" s="68">
        <x:f>SUM(E5:E14)</x:f>
        <x:v>1175430540</x:v>
      </x:c>
      <x:c r="F15" s="66">
        <x:f t="shared" ref="F15:K15" si="2">SUM(F5:F14)</x:f>
        <x:v>686733539</x:v>
      </x:c>
      <x:c r="G15" s="66">
        <x:f t="shared" si="2"/>
        <x:v>361954400</x:v>
      </x:c>
      <x:c r="H15" s="66">
        <x:f t="shared" si="2"/>
        <x:v>8896000</x:v>
      </x:c>
      <x:c r="I15" s="66">
        <x:f t="shared" si="2"/>
        <x:v>25808766</x:v>
      </x:c>
      <x:c r="J15" s="69">
        <x:f t="shared" si="2"/>
        <x:v>1083392705</x:v>
      </x:c>
      <x:c r="K15" s="142">
        <x:f t="shared" si="2"/>
        <x:v>92037835</x:v>
      </x:c>
      <x:c r="L15" s="66"/>
    </x:row>
    <x:row r="27" spans="1:19" s="2" customFormat="1">
      <x:c r="A27" s="1"/>
      <x:c r="B27" s="1"/>
      <x:c r="C27" s="1"/>
      <x:c r="D27" s="1"/>
      <x:c r="E27" s="1"/>
      <x:c r="J27" s="1"/>
      <x:c r="K27" s="1"/>
      <x:c r="M27" s="1"/>
      <x:c r="N27" s="1"/>
      <x:c r="O27" s="1"/>
      <x:c r="P27" s="1"/>
      <x:c r="Q27" s="1"/>
      <x:c r="R27" s="1"/>
      <x:c r="S27" s="1"/>
    </x:row>
    <x:row r="117" spans="4:4">
      <x:c r="D117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7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0"/>
  <x:dimension ref="A1:V226"/>
  <x:sheetViews>
    <x:sheetView view="pageBreakPreview" topLeftCell="A79" zoomScaleNormal="100" zoomScaleSheetLayoutView="100" workbookViewId="0">
      <x:selection activeCell="K89" activeCellId="0" sqref="K89:M89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1816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553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36" t="s">
        <x:v>144</x:v>
      </x:c>
      <x:c r="C3" s="236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36" t="s">
        <x:v>144</x:v>
      </x:c>
      <x:c r="J3" s="236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277280000</x:v>
      </x:c>
      <x:c r="E4" s="39">
        <x:v>8720000</x:v>
      </x:c>
      <x:c r="F4" s="40">
        <x:f>+D4+E4</x:f>
        <x:v>286000000</x:v>
      </x:c>
      <x:c r="G4" s="42"/>
      <x:c r="H4" s="235" t="s">
        <x:v>151</x:v>
      </x:c>
      <x:c r="I4" s="38" t="s">
        <x:v>1679</x:v>
      </x:c>
      <x:c r="J4" s="38" t="s">
        <x:v>791</x:v>
      </x:c>
      <x:c r="K4" s="39"/>
      <x:c r="L4" s="39"/>
      <x:c r="M4" s="40">
        <x:f>+K4+L4</x:f>
        <x:v>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374</x:v>
      </x:c>
      <x:c r="D5" s="167">
        <x:v>63560800</x:v>
      </x:c>
      <x:c r="E5" s="167">
        <x:f>+D5*0.1</x:f>
        <x:v>6356080</x:v>
      </x:c>
      <x:c r="F5" s="168">
        <x:f>+D5+E5</x:f>
        <x:v>69916880</x:v>
      </x:c>
      <x:c r="G5" s="169" t="s">
        <x:v>1611</x:v>
      </x:c>
      <x:c r="H5" s="298" t="s">
        <x:v>148</x:v>
      </x:c>
      <x:c r="I5" s="19" t="s">
        <x:v>867</x:v>
      </x:c>
      <x:c r="J5" s="19" t="s">
        <x:v>369</x:v>
      </x:c>
      <x:c r="K5" s="20">
        <x:v>357800</x:v>
      </x:c>
      <x:c r="L5" s="20">
        <x:f t="shared" ref="L5:L18" si="0">+INT(K5*0.1)</x:f>
        <x:v>35780</x:v>
      </x:c>
      <x:c r="M5" s="21">
        <x:f t="shared" ref="M5:M25" si="1">+K5+L5</x:f>
        <x:v>393580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178" t="s">
        <x:v>902</x:v>
      </x:c>
      <x:c r="C6" s="178" t="s">
        <x:v>615</x:v>
      </x:c>
      <x:c r="D6" s="156">
        <x:v>10732920</x:v>
      </x:c>
      <x:c r="E6" s="156">
        <x:f>+D6*0.1</x:f>
        <x:v>1073292</x:v>
      </x:c>
      <x:c r="F6" s="157">
        <x:f>+D6+E6</x:f>
        <x:v>11806212</x:v>
      </x:c>
      <x:c r="G6" s="233" t="s">
        <x:v>1611</x:v>
      </x:c>
      <x:c r="H6" s="299"/>
      <x:c r="I6" s="3"/>
      <x:c r="J6" s="3"/>
      <x:c r="K6" s="4"/>
      <x:c r="L6" s="4">
        <x:f t="shared" si="0"/>
        <x:v>0</x:v>
      </x:c>
      <x:c r="M6" s="5">
        <x:f t="shared" si="1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3" t="s">
        <x:v>1348</x:v>
      </x:c>
      <x:c r="C7" s="3" t="s">
        <x:v>401</x:v>
      </x:c>
      <x:c r="D7" s="163">
        <x:v>1986000</x:v>
      </x:c>
      <x:c r="E7" s="4">
        <x:f>+D7*0.1</x:f>
        <x:v>198600</x:v>
      </x:c>
      <x:c r="F7" s="5">
        <x:f>+D7+E7</x:f>
        <x:v>2184600</x:v>
      </x:c>
      <x:c r="G7" s="180"/>
      <x:c r="H7" s="299"/>
      <x:c r="I7" s="3"/>
      <x:c r="J7" s="3"/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3" t="s">
        <x:v>907</x:v>
      </x:c>
      <x:c r="C8" s="162"/>
      <x:c r="D8" s="163"/>
      <x:c r="E8" s="4"/>
      <x:c r="F8" s="45">
        <x:f t="shared" ref="F8:F16" si="2">+D8+E8</x:f>
        <x:v>0</x:v>
      </x:c>
      <x:c r="G8" s="179"/>
      <x:c r="H8" s="299"/>
      <x:c r="I8" s="3"/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3" t="s">
        <x:v>1119</x:v>
      </x:c>
      <x:c r="C9" s="162" t="s">
        <x:v>718</x:v>
      </x:c>
      <x:c r="D9" s="163">
        <x:v>1470000</x:v>
      </x:c>
      <x:c r="E9" s="4">
        <x:f>+D9*0.1</x:f>
        <x:v>147000</x:v>
      </x:c>
      <x:c r="F9" s="45">
        <x:f t="shared" si="2"/>
        <x:v>1617000</x:v>
      </x:c>
      <x:c r="G9" s="37"/>
      <x:c r="H9" s="299"/>
      <x:c r="I9" s="3"/>
      <x:c r="J9" s="3"/>
      <x:c r="K9" s="4"/>
      <x:c r="L9" s="4">
        <x:f>+INT(K9*0.1)</x:f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3" t="s">
        <x:v>846</x:v>
      </x:c>
      <x:c r="C10" s="3" t="s">
        <x:v>1178</x:v>
      </x:c>
      <x:c r="D10" s="163">
        <x:v>1329100</x:v>
      </x:c>
      <x:c r="E10" s="4">
        <x:f>+D10*0.1</x:f>
        <x:v>132910</x:v>
      </x:c>
      <x:c r="F10" s="5">
        <x:f t="shared" si="2"/>
        <x:v>1462010</x:v>
      </x:c>
      <x:c r="G10" s="37"/>
      <x:c r="H10" s="299"/>
      <x:c r="I10" s="3"/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178" t="s">
        <x:v>864</x:v>
      </x:c>
      <x:c r="C11" s="178" t="s">
        <x:v>439</x:v>
      </x:c>
      <x:c r="D11" s="163">
        <x:v>1040170</x:v>
      </x:c>
      <x:c r="E11" s="4">
        <x:f>+D11*0.1</x:f>
        <x:v>104017</x:v>
      </x:c>
      <x:c r="F11" s="5">
        <x:f t="shared" si="2"/>
        <x:v>1144187</x:v>
      </x:c>
      <x:c r="G11" s="6"/>
      <x:c r="H11" s="299"/>
      <x:c r="I11" s="3"/>
      <x:c r="J11" s="3"/>
      <x:c r="K11" s="4"/>
      <x:c r="L11" s="4">
        <x:f t="shared" si="0"/>
        <x:v>0</x:v>
      </x:c>
      <x:c r="M11" s="5">
        <x:f t="shared" si="1"/>
        <x:v>0</x:v>
      </x:c>
      <x:c r="N11" s="217"/>
    </x:row>
    <x:row r="12" spans="1:14" ht="20.100000000000001" customHeight="1">
      <x:c r="A12" s="299"/>
      <x:c r="B12" s="178" t="s">
        <x:v>1058</x:v>
      </x:c>
      <x:c r="C12" s="178" t="s">
        <x:v>437</x:v>
      </x:c>
      <x:c r="D12" s="163">
        <x:v>630800</x:v>
      </x:c>
      <x:c r="E12" s="4">
        <x:f>+D12*0.1</x:f>
        <x:v>63080</x:v>
      </x:c>
      <x:c r="F12" s="5">
        <x:f t="shared" si="2"/>
        <x:v>693880</x:v>
      </x:c>
      <x:c r="G12" s="6"/>
      <x:c r="H12" s="299"/>
      <x:c r="I12" s="3"/>
      <x:c r="J12" s="3"/>
      <x:c r="K12" s="4"/>
      <x:c r="L12" s="4"/>
      <x:c r="M12" s="5"/>
      <x:c r="N12" s="217"/>
    </x:row>
    <x:row r="13" spans="1:14" ht="20.100000000000001" customHeight="1">
      <x:c r="A13" s="299"/>
      <x:c r="B13" s="162" t="s">
        <x:v>1449</x:v>
      </x:c>
      <x:c r="C13" s="162"/>
      <x:c r="D13" s="163"/>
      <x:c r="E13" s="4"/>
      <x:c r="F13" s="45">
        <x:f t="shared" si="2"/>
        <x:v>0</x:v>
      </x:c>
      <x:c r="G13" s="37"/>
      <x:c r="H13" s="299"/>
      <x:c r="I13" s="3"/>
      <x:c r="J13" s="3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3" t="s">
        <x:v>938</x:v>
      </x:c>
      <x:c r="C14" s="3" t="s">
        <x:v>1094</x:v>
      </x:c>
      <x:c r="D14" s="163">
        <x:v>2545000</x:v>
      </x:c>
      <x:c r="E14" s="4">
        <x:f>+D14*0.1</x:f>
        <x:v>254500</x:v>
      </x:c>
      <x:c r="F14" s="45">
        <x:f t="shared" si="2"/>
        <x:v>2799500</x:v>
      </x:c>
      <x:c r="G14" s="37"/>
      <x:c r="H14" s="299"/>
      <x:c r="I14" s="3"/>
      <x:c r="J14" s="3"/>
      <x:c r="K14" s="4"/>
      <x:c r="L14" s="4">
        <x:f t="shared" si="0"/>
        <x:v>0</x:v>
      </x:c>
      <x:c r="M14" s="5">
        <x:f t="shared" si="1"/>
        <x:v>0</x:v>
      </x:c>
      <x:c r="N14" s="6"/>
    </x:row>
    <x:row r="15" spans="1:14" ht="20.100000000000001" customHeight="1">
      <x:c r="A15" s="299"/>
      <x:c r="B15" s="162" t="s">
        <x:v>1378</x:v>
      </x:c>
      <x:c r="C15" s="162" t="s">
        <x:v>1222</x:v>
      </x:c>
      <x:c r="D15" s="163">
        <x:v>2187000</x:v>
      </x:c>
      <x:c r="E15" s="4">
        <x:f>+D15*0.1</x:f>
        <x:v>218700</x:v>
      </x:c>
      <x:c r="F15" s="45">
        <x:f t="shared" si="2"/>
        <x:v>2405700</x:v>
      </x:c>
      <x:c r="G15" s="6"/>
      <x:c r="H15" s="299"/>
      <x:c r="I15" s="3"/>
      <x:c r="J15" s="3"/>
      <x:c r="K15" s="4"/>
      <x:c r="L15" s="4">
        <x:f t="shared" si="0"/>
        <x:v>0</x:v>
      </x:c>
      <x:c r="M15" s="5">
        <x:f t="shared" si="1"/>
        <x:v>0</x:v>
      </x:c>
      <x:c r="N15" s="6"/>
    </x:row>
    <x:row r="16" spans="1:14" ht="20.100000000000001" customHeight="1">
      <x:c r="A16" s="299"/>
      <x:c r="B16" s="3" t="s">
        <x:v>976</x:v>
      </x:c>
      <x:c r="C16" s="3" t="s">
        <x:v>528</x:v>
      </x:c>
      <x:c r="D16" s="163">
        <x:v>900000</x:v>
      </x:c>
      <x:c r="E16" s="4">
        <x:f>+D16*0.1</x:f>
        <x:v>90000</x:v>
      </x:c>
      <x:c r="F16" s="45">
        <x:f t="shared" si="2"/>
        <x:v>990000</x:v>
      </x:c>
      <x:c r="G16" s="37"/>
      <x:c r="H16" s="299"/>
      <x:c r="I16" s="3"/>
      <x:c r="J16" s="3"/>
      <x:c r="K16" s="4"/>
      <x:c r="L16" s="4">
        <x:f t="shared" si="0"/>
        <x:v>0</x:v>
      </x:c>
      <x:c r="M16" s="5">
        <x:f t="shared" si="1"/>
        <x:v>0</x:v>
      </x:c>
      <x:c r="N16" s="6"/>
    </x:row>
    <x:row r="17" spans="1:14" ht="20.100000000000001" customHeight="1">
      <x:c r="A17" s="299"/>
      <x:c r="B17" s="162" t="s">
        <x:v>1564</x:v>
      </x:c>
      <x:c r="C17" s="162" t="s">
        <x:v>1552</x:v>
      </x:c>
      <x:c r="D17" s="163">
        <x:v>6538430</x:v>
      </x:c>
      <x:c r="E17" s="163">
        <x:f>+D17*0.1</x:f>
        <x:v>653843</x:v>
      </x:c>
      <x:c r="F17" s="164">
        <x:f>+D17+E17</x:f>
        <x:v>7192273</x:v>
      </x:c>
      <x:c r="G17" s="180"/>
      <x:c r="H17" s="299"/>
      <x:c r="I17" s="3"/>
      <x:c r="J17" s="3"/>
      <x:c r="K17" s="4"/>
      <x:c r="L17" s="4">
        <x:f t="shared" si="0"/>
        <x:v>0</x:v>
      </x:c>
      <x:c r="M17" s="5">
        <x:f t="shared" si="1"/>
        <x:v>0</x:v>
      </x:c>
      <x:c r="N17" s="6"/>
    </x:row>
    <x:row r="18" spans="1:14" ht="20.100000000000001" customHeight="1">
      <x:c r="A18" s="300"/>
      <x:c r="B18" s="3" t="s">
        <x:v>854</x:v>
      </x:c>
      <x:c r="C18" s="3" t="s">
        <x:v>1704</x:v>
      </x:c>
      <x:c r="D18" s="163">
        <x:v>762510</x:v>
      </x:c>
      <x:c r="E18" s="4">
        <x:f>+D18*0.1</x:f>
        <x:v>76251</x:v>
      </x:c>
      <x:c r="F18" s="45">
        <x:f>+D18+E18</x:f>
        <x:v>838761</x:v>
      </x:c>
      <x:c r="G18" s="6" t="s">
        <x:v>1597</x:v>
      </x:c>
      <x:c r="H18" s="300"/>
      <x:c r="I18" s="3"/>
      <x:c r="J18" s="3"/>
      <x:c r="K18" s="4"/>
      <x:c r="L18" s="4">
        <x:f t="shared" si="0"/>
        <x:v>0</x:v>
      </x:c>
      <x:c r="M18" s="5">
        <x:f t="shared" si="1"/>
        <x:v>0</x:v>
      </x:c>
      <x:c r="N18" s="6"/>
    </x:row>
    <x:row r="19" spans="1:14" ht="20.100000000000001" customHeight="1">
      <x:c r="A19" s="7" t="s">
        <x:v>155</x:v>
      </x:c>
      <x:c r="B19" s="8"/>
      <x:c r="C19" s="8"/>
      <x:c r="D19" s="80">
        <x:f>SUM(D5:D18)</x:f>
        <x:v>93682730</x:v>
      </x:c>
      <x:c r="E19" s="9">
        <x:f>SUM(E5:E18)</x:f>
        <x:v>9368273</x:v>
      </x:c>
      <x:c r="F19" s="10">
        <x:f>SUM(F5:F18)</x:f>
        <x:v>103051003</x:v>
      </x:c>
      <x:c r="G19" s="11"/>
      <x:c r="H19" s="7"/>
      <x:c r="I19" s="8"/>
      <x:c r="J19" s="8"/>
      <x:c r="K19" s="9">
        <x:f>SUM(K5:K18)</x:f>
        <x:v>357800</x:v>
      </x:c>
      <x:c r="L19" s="9">
        <x:f>SUM(L5:L18)</x:f>
        <x:v>35780</x:v>
      </x:c>
      <x:c r="M19" s="10">
        <x:f>SUM(M5:M18)</x:f>
        <x:v>393580</x:v>
      </x:c>
      <x:c r="N19" s="11"/>
    </x:row>
    <x:row r="20" spans="1:14" ht="20.100000000000001" customHeight="1">
      <x:c r="A20" s="301" t="s">
        <x:v>153</x:v>
      </x:c>
      <x:c r="B20" s="3" t="s">
        <x:v>1677</x:v>
      </x:c>
      <x:c r="C20" s="3" t="s">
        <x:v>1079</x:v>
      </x:c>
      <x:c r="D20" s="163">
        <x:v>21860000</x:v>
      </x:c>
      <x:c r="E20" s="44"/>
      <x:c r="F20" s="45">
        <x:f t="shared" ref="F20:F25" si="3">+D20+E20</x:f>
        <x:v>21860000</x:v>
      </x:c>
      <x:c r="G20" s="37"/>
      <x:c r="H20" s="301" t="s">
        <x:v>153</x:v>
      </x:c>
      <x:c r="I20" s="3" t="s">
        <x:v>1677</x:v>
      </x:c>
      <x:c r="J20" s="3"/>
      <x:c r="K20" s="4"/>
      <x:c r="L20" s="4"/>
      <x:c r="M20" s="5">
        <x:f t="shared" si="1"/>
        <x:v>0</x:v>
      </x:c>
      <x:c r="N20" s="6"/>
    </x:row>
    <x:row r="21" spans="1:14" ht="20.100000000000001" customHeight="1">
      <x:c r="A21" s="299"/>
      <x:c r="B21" s="3" t="s">
        <x:v>1241</x:v>
      </x:c>
      <x:c r="C21" s="3" t="s">
        <x:v>1368</x:v>
      </x:c>
      <x:c r="D21" s="163">
        <x:v>4140000</x:v>
      </x:c>
      <x:c r="E21" s="4"/>
      <x:c r="F21" s="5">
        <x:f t="shared" si="3"/>
        <x:v>4140000</x:v>
      </x:c>
      <x:c r="G21" s="37"/>
      <x:c r="H21" s="299"/>
      <x:c r="I21" s="3"/>
      <x:c r="J21" s="3"/>
      <x:c r="K21" s="4"/>
      <x:c r="L21" s="4">
        <x:f>+K21*0.1</x:f>
        <x:v>0</x:v>
      </x:c>
      <x:c r="M21" s="5">
        <x:f t="shared" si="1"/>
        <x:v>0</x:v>
      </x:c>
      <x:c r="N21" s="6"/>
    </x:row>
    <x:row r="22" spans="1:22" s="2" customFormat="1" ht="20.100000000000001" customHeight="1">
      <x:c r="A22" s="299"/>
      <x:c r="B22" s="3" t="s">
        <x:v>1241</x:v>
      </x:c>
      <x:c r="C22" s="3" t="s">
        <x:v>1389</x:v>
      </x:c>
      <x:c r="D22" s="163">
        <x:v>13440000</x:v>
      </x:c>
      <x:c r="E22" s="4"/>
      <x:c r="F22" s="5">
        <x:f t="shared" si="3"/>
        <x:v>13440000</x:v>
      </x:c>
      <x:c r="G22" s="37"/>
      <x:c r="H22" s="299"/>
      <x:c r="I22" s="3"/>
      <x:c r="J22" s="3"/>
      <x:c r="K22" s="4"/>
      <x:c r="L22" s="4"/>
      <x:c r="M22" s="5">
        <x:f t="shared" si="1"/>
        <x:v>0</x:v>
      </x:c>
      <x:c r="N22" s="6"/>
      <x:c r="V22" s="1"/>
    </x:row>
    <x:row r="23" spans="1:22" s="2" customFormat="1" ht="20.100000000000001" customHeight="1">
      <x:c r="A23" s="299"/>
      <x:c r="B23" s="3" t="s">
        <x:v>1241</x:v>
      </x:c>
      <x:c r="C23" s="3" t="s">
        <x:v>547</x:v>
      </x:c>
      <x:c r="D23" s="163">
        <x:f>49450000+12000000</x:f>
        <x:v>61450000</x:v>
      </x:c>
      <x:c r="E23" s="4">
        <x:f>12000000*0.1</x:f>
        <x:v>1200000</x:v>
      </x:c>
      <x:c r="F23" s="5">
        <x:f t="shared" si="3"/>
        <x:v>62650000</x:v>
      </x:c>
      <x:c r="G23" s="37"/>
      <x:c r="H23" s="299"/>
      <x:c r="I23" s="3"/>
      <x:c r="J23" s="3"/>
      <x:c r="K23" s="4"/>
      <x:c r="L23" s="4"/>
      <x:c r="M23" s="5"/>
      <x:c r="N23" s="6"/>
      <x:c r="V23" s="1"/>
    </x:row>
    <x:row r="24" spans="1:22" s="2" customFormat="1" ht="20.100000000000001" customHeight="1">
      <x:c r="A24" s="299"/>
      <x:c r="B24" s="3" t="s">
        <x:v>1241</x:v>
      </x:c>
      <x:c r="C24" s="3" t="s">
        <x:v>168</x:v>
      </x:c>
      <x:c r="D24" s="163">
        <x:v>13740000</x:v>
      </x:c>
      <x:c r="E24" s="4"/>
      <x:c r="F24" s="5">
        <x:f t="shared" si="3"/>
        <x:v>13740000</x:v>
      </x:c>
      <x:c r="G24" s="6"/>
      <x:c r="H24" s="299"/>
      <x:c r="I24" s="3"/>
      <x:c r="J24" s="3"/>
      <x:c r="K24" s="4"/>
      <x:c r="L24" s="4"/>
      <x:c r="M24" s="5">
        <x:f>+K24+L24</x:f>
        <x:v>0</x:v>
      </x:c>
      <x:c r="N24" s="6"/>
      <x:c r="V24" s="1"/>
    </x:row>
    <x:row r="25" spans="1:22" s="2" customFormat="1" ht="20.100000000000001" customHeight="1">
      <x:c r="A25" s="300"/>
      <x:c r="B25" s="3" t="s">
        <x:v>1241</x:v>
      </x:c>
      <x:c r="C25" s="3" t="s">
        <x:v>311</x:v>
      </x:c>
      <x:c r="D25" s="163">
        <x:v>1650000</x:v>
      </x:c>
      <x:c r="E25" s="4"/>
      <x:c r="F25" s="5">
        <x:f t="shared" si="3"/>
        <x:v>1650000</x:v>
      </x:c>
      <x:c r="G25" s="6"/>
      <x:c r="H25" s="300"/>
      <x:c r="I25" s="3"/>
      <x:c r="J25" s="3"/>
      <x:c r="K25" s="4"/>
      <x:c r="L25" s="4"/>
      <x:c r="M25" s="5">
        <x:f t="shared" si="1"/>
        <x:v>0</x:v>
      </x:c>
      <x:c r="N25" s="6"/>
      <x:c r="V25" s="1"/>
    </x:row>
    <x:row r="26" spans="1:22" s="2" customFormat="1" ht="20.100000000000001" customHeight="1">
      <x:c r="A26" s="7" t="s">
        <x:v>155</x:v>
      </x:c>
      <x:c r="B26" s="8"/>
      <x:c r="C26" s="8"/>
      <x:c r="D26" s="80">
        <x:f>SUM(D20:D25)</x:f>
        <x:v>116280000</x:v>
      </x:c>
      <x:c r="E26" s="9">
        <x:f>SUM(E20:E25)</x:f>
        <x:v>1200000</x:v>
      </x:c>
      <x:c r="F26" s="10">
        <x:f>SUM(F20:F25)</x:f>
        <x:v>117480000</x:v>
      </x:c>
      <x:c r="G26" s="11"/>
      <x:c r="H26" s="7"/>
      <x:c r="I26" s="8"/>
      <x:c r="J26" s="8"/>
      <x:c r="K26" s="9">
        <x:f>SUM(K20:K25)</x:f>
        <x:v>0</x:v>
      </x:c>
      <x:c r="L26" s="9">
        <x:f>SUM(L20:L25)</x:f>
        <x:v>0</x:v>
      </x:c>
      <x:c r="M26" s="10">
        <x:f>SUM(M20:M25)</x:f>
        <x:v>0</x:v>
      </x:c>
      <x:c r="N26" s="11"/>
      <x:c r="V26" s="1"/>
    </x:row>
    <x:row r="27" spans="1:22" s="2" customFormat="1" ht="20.100000000000001" customHeight="1">
      <x:c r="A27" s="301" t="s">
        <x:v>187</x:v>
      </x:c>
      <x:c r="B27" s="3" t="s">
        <x:v>1321</x:v>
      </x:c>
      <x:c r="C27" s="3" t="s">
        <x:v>948</x:v>
      </x:c>
      <x:c r="D27" s="163">
        <x:v>420000</x:v>
      </x:c>
      <x:c r="E27" s="4">
        <x:f>+D27*0.1</x:f>
        <x:v>42000</x:v>
      </x:c>
      <x:c r="F27" s="5">
        <x:f>+D27+E27</x:f>
        <x:v>462000</x:v>
      </x:c>
      <x:c r="G27" s="6"/>
      <x:c r="H27" s="301" t="s">
        <x:v>187</x:v>
      </x:c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299"/>
      <x:c r="B28" s="3" t="s">
        <x:v>436</x:v>
      </x:c>
      <x:c r="C28" s="3" t="s">
        <x:v>1390</x:v>
      </x:c>
      <x:c r="D28" s="163">
        <x:v>540000</x:v>
      </x:c>
      <x:c r="E28" s="4">
        <x:f>+D28*0.1</x:f>
        <x:v>54000</x:v>
      </x:c>
      <x:c r="F28" s="5">
        <x:f>+D28+E28</x:f>
        <x:v>594000</x:v>
      </x:c>
      <x:c r="G28" s="6"/>
      <x:c r="H28" s="299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299"/>
      <x:c r="B29" s="3" t="s">
        <x:v>1387</x:v>
      </x:c>
      <x:c r="C29" s="3" t="s">
        <x:v>157</x:v>
      </x:c>
      <x:c r="D29" s="163"/>
      <x:c r="E29" s="4"/>
      <x:c r="F29" s="5">
        <x:f>+D29+E29</x:f>
        <x:v>0</x:v>
      </x:c>
      <x:c r="G29" s="6"/>
      <x:c r="H29" s="299"/>
      <x:c r="I29" s="3"/>
      <x:c r="J29" s="3"/>
      <x:c r="K29" s="4"/>
      <x:c r="L29" s="4"/>
      <x:c r="M29" s="5">
        <x:f>+K29+L29</x:f>
        <x:v>0</x:v>
      </x:c>
      <x:c r="N29" s="6"/>
      <x:c r="V29" s="1"/>
    </x:row>
    <x:row r="30" spans="1:22" s="2" customFormat="1" ht="20.100000000000001" customHeight="1">
      <x:c r="A30" s="300"/>
      <x:c r="B30" s="3"/>
      <x:c r="C30" s="3"/>
      <x:c r="D30" s="163"/>
      <x:c r="E30" s="4"/>
      <x:c r="F30" s="5">
        <x:f>+D30+E30</x:f>
        <x:v>0</x:v>
      </x:c>
      <x:c r="G30" s="6"/>
      <x:c r="H30" s="300"/>
      <x:c r="I30" s="3"/>
      <x:c r="J30" s="3"/>
      <x:c r="K30" s="4"/>
      <x:c r="L30" s="4"/>
      <x:c r="M30" s="5">
        <x:f>+K30+L30</x:f>
        <x:v>0</x:v>
      </x:c>
      <x:c r="N30" s="6"/>
      <x:c r="V30" s="1"/>
    </x:row>
    <x:row r="31" spans="1:22" s="2" customFormat="1" ht="20.100000000000001" customHeight="1">
      <x:c r="A31" s="7" t="s">
        <x:v>155</x:v>
      </x:c>
      <x:c r="B31" s="8"/>
      <x:c r="C31" s="8"/>
      <x:c r="D31" s="80">
        <x:f>SUM(D27:D30)</x:f>
        <x:v>960000</x:v>
      </x:c>
      <x:c r="E31" s="9">
        <x:f>SUM(E27:E30)</x:f>
        <x:v>96000</x:v>
      </x:c>
      <x:c r="F31" s="10">
        <x:f>SUM(F27:F30)</x:f>
        <x:v>1056000</x:v>
      </x:c>
      <x:c r="G31" s="11"/>
      <x:c r="H31" s="7"/>
      <x:c r="I31" s="8"/>
      <x:c r="J31" s="8"/>
      <x:c r="K31" s="9">
        <x:f>SUM(K27:K30)</x:f>
        <x:v>0</x:v>
      </x:c>
      <x:c r="L31" s="9">
        <x:f>SUM(L27:L30)</x:f>
        <x:v>0</x:v>
      </x:c>
      <x:c r="M31" s="10">
        <x:f>SUM(M27:M30)</x:f>
        <x:v>0</x:v>
      </x:c>
      <x:c r="N31" s="11"/>
      <x:c r="V31" s="1"/>
    </x:row>
    <x:row r="32" spans="1:22" s="2" customFormat="1" ht="20.100000000000001" customHeight="1">
      <x:c r="A32" s="301" t="s">
        <x:v>149</x:v>
      </x:c>
      <x:c r="B32" s="3" t="s">
        <x:v>185</x:v>
      </x:c>
      <x:c r="C32" s="3" t="s">
        <x:v>149</x:v>
      </x:c>
      <x:c r="D32" s="163">
        <x:v>1340390</x:v>
      </x:c>
      <x:c r="E32" s="44"/>
      <x:c r="F32" s="5">
        <x:f>+D32+E32</x:f>
        <x:v>1340390</x:v>
      </x:c>
      <x:c r="G32" s="6"/>
      <x:c r="H32" s="301" t="s">
        <x:v>149</x:v>
      </x:c>
      <x:c r="I32" s="3"/>
      <x:c r="J32" s="3" t="s">
        <x:v>149</x:v>
      </x:c>
      <x:c r="K32" s="4"/>
      <x:c r="L32" s="4"/>
      <x:c r="M32" s="5">
        <x:f t="shared" ref="M32:M40" si="4">+K32+L32</x:f>
        <x:v>0</x:v>
      </x:c>
      <x:c r="N32" s="6"/>
      <x:c r="V32" s="1"/>
    </x:row>
    <x:row r="33" spans="1:22" s="2" customFormat="1" ht="20.100000000000001" customHeight="1">
      <x:c r="A33" s="299"/>
      <x:c r="B33" s="3" t="s">
        <x:v>1274</x:v>
      </x:c>
      <x:c r="C33" s="3" t="s">
        <x:v>962</x:v>
      </x:c>
      <x:c r="D33" s="163">
        <x:v>550909</x:v>
      </x:c>
      <x:c r="E33" s="4">
        <x:f>+D33*0.1</x:f>
        <x:v>55090.900000000001</x:v>
      </x:c>
      <x:c r="F33" s="5">
        <x:f>+D33+E33</x:f>
        <x:v>605999.90000000002</x:v>
      </x:c>
      <x:c r="G33" s="6"/>
      <x:c r="H33" s="299"/>
      <x:c r="I33" s="3"/>
      <x:c r="J33" s="3"/>
      <x:c r="K33" s="4"/>
      <x:c r="L33" s="4">
        <x:f>+K33*0.1</x:f>
        <x:v>0</x:v>
      </x:c>
      <x:c r="M33" s="5">
        <x:f t="shared" si="4"/>
        <x:v>0</x:v>
      </x:c>
      <x:c r="N33" s="6"/>
      <x:c r="V33" s="1"/>
    </x:row>
    <x:row r="34" spans="1:22" s="2" customFormat="1" ht="20.100000000000001" customHeight="1">
      <x:c r="A34" s="299"/>
      <x:c r="B34" s="3" t="s">
        <x:v>1313</x:v>
      </x:c>
      <x:c r="C34" s="3" t="s">
        <x:v>825</x:v>
      </x:c>
      <x:c r="D34" s="163">
        <x:v>27500</x:v>
      </x:c>
      <x:c r="E34" s="4">
        <x:f>+D34*0.1</x:f>
        <x:v>2750</x:v>
      </x:c>
      <x:c r="F34" s="5">
        <x:f t="shared" ref="F34:F42" si="5">+D34+E34</x:f>
        <x:v>30250</x:v>
      </x:c>
      <x:c r="G34" s="6"/>
      <x:c r="H34" s="299"/>
      <x:c r="I34" s="3"/>
      <x:c r="J34" s="3"/>
      <x:c r="K34" s="4"/>
      <x:c r="L34" s="4">
        <x:f>+K34*0.1</x:f>
        <x:v>0</x:v>
      </x:c>
      <x:c r="M34" s="5">
        <x:f t="shared" si="4"/>
        <x:v>0</x:v>
      </x:c>
      <x:c r="N34" s="6"/>
      <x:c r="V34" s="1"/>
    </x:row>
    <x:row r="35" spans="1:22" s="2" customFormat="1" ht="20.100000000000001" customHeight="1">
      <x:c r="A35" s="299"/>
      <x:c r="B35" s="3" t="s">
        <x:v>994</x:v>
      </x:c>
      <x:c r="C35" s="3" t="s">
        <x:v>8</x:v>
      </x:c>
      <x:c r="D35" s="163">
        <x:v>420001</x:v>
      </x:c>
      <x:c r="E35" s="4">
        <x:v>41999</x:v>
      </x:c>
      <x:c r="F35" s="5">
        <x:f t="shared" si="5"/>
        <x:v>462000</x:v>
      </x:c>
      <x:c r="G35" s="6"/>
      <x:c r="H35" s="299"/>
      <x:c r="I35" s="3"/>
      <x:c r="J35" s="3"/>
      <x:c r="K35" s="4"/>
      <x:c r="L35" s="4"/>
      <x:c r="M35" s="5">
        <x:f t="shared" si="4"/>
        <x:v>0</x:v>
      </x:c>
      <x:c r="N35" s="6"/>
      <x:c r="V35" s="1"/>
    </x:row>
    <x:row r="36" spans="1:22" s="2" customFormat="1" ht="20.100000000000001" customHeight="1">
      <x:c r="A36" s="299"/>
      <x:c r="B36" s="3" t="s">
        <x:v>1680</x:v>
      </x:c>
      <x:c r="C36" s="3" t="s">
        <x:v>1695</x:v>
      </x:c>
      <x:c r="D36" s="163">
        <x:v>100000</x:v>
      </x:c>
      <x:c r="E36" s="4">
        <x:f>+D36*0.1</x:f>
        <x:v>10000</x:v>
      </x:c>
      <x:c r="F36" s="5">
        <x:f t="shared" si="5"/>
        <x:v>110000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4"/>
        <x:v>0</x:v>
      </x:c>
      <x:c r="N36" s="6"/>
      <x:c r="V36" s="1"/>
    </x:row>
    <x:row r="37" spans="1:22" s="2" customFormat="1" ht="20.100000000000001" customHeight="1">
      <x:c r="A37" s="299"/>
      <x:c r="B37" s="3" t="s">
        <x:v>247</x:v>
      </x:c>
      <x:c r="C37" s="3" t="s">
        <x:v>231</x:v>
      </x:c>
      <x:c r="D37" s="163">
        <x:f>3500+20000</x:f>
        <x:v>23500</x:v>
      </x:c>
      <x:c r="E37" s="4">
        <x:f>+D37*0.1</x:f>
        <x:v>2350</x:v>
      </x:c>
      <x:c r="F37" s="5">
        <x:f t="shared" si="5"/>
        <x:v>25850</x:v>
      </x:c>
      <x:c r="G37" s="146" t="s">
        <x:v>1451</x:v>
      </x:c>
      <x:c r="H37" s="299"/>
      <x:c r="I37" s="3"/>
      <x:c r="J37" s="3"/>
      <x:c r="K37" s="4"/>
      <x:c r="L37" s="4">
        <x:f>+K37*0.1</x:f>
        <x:v>0</x:v>
      </x:c>
      <x:c r="M37" s="5">
        <x:f t="shared" si="4"/>
        <x:v>0</x:v>
      </x:c>
      <x:c r="N37" s="6"/>
      <x:c r="V37" s="1"/>
    </x:row>
    <x:row r="38" spans="1:22" s="2" customFormat="1" ht="20.100000000000001" customHeight="1">
      <x:c r="A38" s="299"/>
      <x:c r="B38" s="3" t="s">
        <x:v>1304</x:v>
      </x:c>
      <x:c r="C38" s="3" t="s">
        <x:v>167</x:v>
      </x:c>
      <x:c r="D38" s="163"/>
      <x:c r="E38" s="4"/>
      <x:c r="F38" s="5">
        <x:f t="shared" si="5"/>
        <x:v>0</x:v>
      </x:c>
      <x:c r="G38" s="146"/>
      <x:c r="H38" s="299"/>
      <x:c r="I38" s="3"/>
      <x:c r="J38" s="3"/>
      <x:c r="K38" s="4"/>
      <x:c r="L38" s="209">
        <x:f>+INT(K38*0.1)</x:f>
        <x:v>0</x:v>
      </x:c>
      <x:c r="M38" s="5">
        <x:f t="shared" si="4"/>
        <x:v>0</x:v>
      </x:c>
      <x:c r="N38" s="6"/>
      <x:c r="V38" s="1"/>
    </x:row>
    <x:row r="39" spans="1:22" s="2" customFormat="1" ht="20.100000000000001" customHeight="1">
      <x:c r="A39" s="299"/>
      <x:c r="B39" s="3" t="s">
        <x:v>238</x:v>
      </x:c>
      <x:c r="C39" s="3" t="s">
        <x:v>405</x:v>
      </x:c>
      <x:c r="D39" s="4">
        <x:v>420000</x:v>
      </x:c>
      <x:c r="E39" s="4"/>
      <x:c r="F39" s="5">
        <x:f t="shared" si="5"/>
        <x:v>420000</x:v>
      </x:c>
      <x:c r="G39" s="146" t="s">
        <x:v>185</x:v>
      </x:c>
      <x:c r="H39" s="299"/>
      <x:c r="I39" s="3"/>
      <x:c r="J39" s="3"/>
      <x:c r="K39" s="4"/>
      <x:c r="L39" s="209"/>
      <x:c r="M39" s="5">
        <x:f t="shared" si="4"/>
        <x:v>0</x:v>
      </x:c>
      <x:c r="N39" s="6"/>
      <x:c r="V39" s="1"/>
    </x:row>
    <x:row r="40" spans="1:22" s="2" customFormat="1" ht="20.100000000000001" customHeight="1">
      <x:c r="A40" s="299"/>
      <x:c r="B40" s="3" t="s">
        <x:v>270</x:v>
      </x:c>
      <x:c r="C40" s="3" t="s">
        <x:v>134</x:v>
      </x:c>
      <x:c r="D40" s="4">
        <x:v>290000</x:v>
      </x:c>
      <x:c r="E40" s="4"/>
      <x:c r="F40" s="5">
        <x:f t="shared" si="5"/>
        <x:v>290000</x:v>
      </x:c>
      <x:c r="G40" s="146" t="s">
        <x:v>271</x:v>
      </x:c>
      <x:c r="H40" s="299"/>
      <x:c r="I40" s="3"/>
      <x:c r="J40" s="3"/>
      <x:c r="K40" s="4"/>
      <x:c r="L40" s="4">
        <x:f>+K40*0.1</x:f>
        <x:v>0</x:v>
      </x:c>
      <x:c r="M40" s="5">
        <x:f t="shared" si="4"/>
        <x:v>0</x:v>
      </x:c>
      <x:c r="N40" s="6"/>
      <x:c r="V40" s="1"/>
    </x:row>
    <x:row r="41" spans="1:22" s="2" customFormat="1" ht="20.100000000000001" customHeight="1">
      <x:c r="A41" s="299"/>
      <x:c r="B41" s="3" t="s">
        <x:v>973</x:v>
      </x:c>
      <x:c r="C41" s="3" t="s">
        <x:v>1088</x:v>
      </x:c>
      <x:c r="D41" s="163">
        <x:v>254544</x:v>
      </x:c>
      <x:c r="E41" s="4">
        <x:f>+D41*0.1+2</x:f>
        <x:v>25456.400000000001</x:v>
      </x:c>
      <x:c r="F41" s="5">
        <x:f t="shared" si="5"/>
        <x:v>280000.40000000002</x:v>
      </x:c>
      <x:c r="G41" s="146"/>
      <x:c r="H41" s="299"/>
      <x:c r="I41" s="3"/>
      <x:c r="J41" s="3"/>
      <x:c r="K41" s="4"/>
      <x:c r="L41" s="4"/>
      <x:c r="M41" s="5"/>
      <x:c r="N41" s="6"/>
      <x:c r="V41" s="1"/>
    </x:row>
    <x:row r="42" spans="1:22" s="2" customFormat="1" ht="20.100000000000001" customHeight="1">
      <x:c r="A42" s="300"/>
      <x:c r="B42" s="3" t="s">
        <x:v>315</x:v>
      </x:c>
      <x:c r="C42" s="3" t="s">
        <x:v>149</x:v>
      </x:c>
      <x:c r="D42" s="4">
        <x:v>54200</x:v>
      </x:c>
      <x:c r="E42" s="4"/>
      <x:c r="F42" s="5">
        <x:f t="shared" si="5"/>
        <x:v>54200</x:v>
      </x:c>
      <x:c r="G42" s="6" t="s">
        <x:v>1632</x:v>
      </x:c>
      <x:c r="H42" s="300"/>
      <x:c r="I42" s="3"/>
      <x:c r="J42" s="3"/>
      <x:c r="K42" s="4"/>
      <x:c r="L42" s="4"/>
      <x:c r="M42" s="5">
        <x:f>+K42+L42</x:f>
        <x:v>0</x:v>
      </x:c>
      <x:c r="N42" s="6"/>
      <x:c r="V42" s="1"/>
    </x:row>
    <x:row r="43" spans="1:22" s="2" customFormat="1" ht="20.100000000000001" customHeight="1">
      <x:c r="A43" s="7" t="s">
        <x:v>155</x:v>
      </x:c>
      <x:c r="B43" s="8"/>
      <x:c r="C43" s="8"/>
      <x:c r="D43" s="9">
        <x:f>SUM(D32:D42)</x:f>
        <x:v>3481044</x:v>
      </x:c>
      <x:c r="E43" s="9">
        <x:f>SUM(E32:E42)</x:f>
        <x:v>137646.29999999999</x:v>
      </x:c>
      <x:c r="F43" s="10">
        <x:f>SUM(F32:F42)</x:f>
        <x:v>3618690.2999999998</x:v>
      </x:c>
      <x:c r="G43" s="11"/>
      <x:c r="H43" s="7"/>
      <x:c r="I43" s="8"/>
      <x:c r="J43" s="8"/>
      <x:c r="K43" s="9">
        <x:f>SUM(K32:K42)</x:f>
        <x:v>0</x:v>
      </x:c>
      <x:c r="L43" s="9">
        <x:f>SUM(L32:L42)</x:f>
        <x:v>0</x:v>
      </x:c>
      <x:c r="M43" s="10">
        <x:f>SUM(M32:M42)</x:f>
        <x:v>0</x:v>
      </x:c>
      <x:c r="N43" s="11"/>
      <x:c r="V43" s="1"/>
    </x:row>
    <x:row r="44" spans="1:22" s="2" customFormat="1" ht="20.100000000000001" customHeight="1">
      <x:c r="A44" s="12" t="s">
        <x:v>1690</x:v>
      </x:c>
      <x:c r="B44" s="13"/>
      <x:c r="C44" s="13"/>
      <x:c r="D44" s="14">
        <x:f>+D19+D26+D31+D43</x:f>
        <x:v>214403774</x:v>
      </x:c>
      <x:c r="E44" s="14">
        <x:f>+E19+E26+E31+E43</x:f>
        <x:v>10801919.300000001</x:v>
      </x:c>
      <x:c r="F44" s="15">
        <x:f>+F19+F26+F31+F43</x:f>
        <x:v>225205693.30000001</x:v>
      </x:c>
      <x:c r="G44" s="16"/>
      <x:c r="H44" s="12"/>
      <x:c r="I44" s="13"/>
      <x:c r="J44" s="13"/>
      <x:c r="K44" s="14">
        <x:f>+K19+K26+K31+K43</x:f>
        <x:v>357800</x:v>
      </x:c>
      <x:c r="L44" s="14">
        <x:f>+L19+L26+L31+L43</x:f>
        <x:v>35780</x:v>
      </x:c>
      <x:c r="M44" s="15">
        <x:f>+M19+M26+M31+M43</x:f>
        <x:v>393580</x:v>
      </x:c>
      <x:c r="N44" s="16"/>
      <x:c r="V44" s="1"/>
    </x:row>
    <x:row r="45" spans="1:22" s="2" customFormat="1" ht="20.100000000000001" customHeight="1">
      <x:c r="A45" s="23" t="s">
        <x:v>35</x:v>
      </x:c>
      <x:c r="B45" s="24"/>
      <x:c r="C45" s="24"/>
      <x:c r="D45" s="25">
        <x:f>+D4-D44</x:f>
        <x:v>62876226</x:v>
      </x:c>
      <x:c r="E45" s="25">
        <x:f>+E4-E44</x:f>
        <x:v>-2081919.3000000007</x:v>
      </x:c>
      <x:c r="F45" s="26">
        <x:f>+F4-F44</x:f>
        <x:v>60794306.699999988</x:v>
      </x:c>
      <x:c r="G45" s="27"/>
      <x:c r="H45" s="23"/>
      <x:c r="I45" s="24"/>
      <x:c r="J45" s="24"/>
      <x:c r="K45" s="25">
        <x:f>+K4-K44</x:f>
        <x:v>-357800</x:v>
      </x:c>
      <x:c r="L45" s="25">
        <x:f>+L4-L44</x:f>
        <x:v>-35780</x:v>
      </x:c>
      <x:c r="M45" s="26">
        <x:f>+M4-M44</x:f>
        <x:v>-393580</x:v>
      </x:c>
      <x:c r="N45" s="27"/>
      <x:c r="V45" s="1"/>
    </x:row>
    <x:row r="46" spans="1:22" s="2" customFormat="1" ht="20.100000000000001" customHeight="1">
      <x:c r="A46" s="302" t="s">
        <x:v>410</x:v>
      </x:c>
      <x:c r="B46" s="303"/>
      <x:c r="C46" s="303"/>
      <x:c r="D46" s="303"/>
      <x:c r="E46" s="303"/>
      <x:c r="F46" s="304"/>
      <x:c r="G46" s="305"/>
      <x:c r="H46" s="302" t="s">
        <x:v>789</x:v>
      </x:c>
      <x:c r="I46" s="303"/>
      <x:c r="J46" s="303"/>
      <x:c r="K46" s="303"/>
      <x:c r="L46" s="303"/>
      <x:c r="M46" s="304"/>
      <x:c r="N46" s="305"/>
      <x:c r="V46" s="1"/>
    </x:row>
    <x:row r="47" spans="1:22" s="2" customFormat="1" ht="20.100000000000001" customHeight="1">
      <x:c r="A47" s="29" t="s">
        <x:v>147</x:v>
      </x:c>
      <x:c r="B47" s="236" t="s">
        <x:v>144</x:v>
      </x:c>
      <x:c r="C47" s="236" t="s">
        <x:v>150</x:v>
      </x:c>
      <x:c r="D47" s="31" t="s">
        <x:v>145</x:v>
      </x:c>
      <x:c r="E47" s="31" t="s">
        <x:v>152</x:v>
      </x:c>
      <x:c r="F47" s="31" t="s">
        <x:v>146</x:v>
      </x:c>
      <x:c r="G47" s="34" t="s">
        <x:v>154</x:v>
      </x:c>
      <x:c r="H47" s="29" t="s">
        <x:v>147</x:v>
      </x:c>
      <x:c r="I47" s="236" t="s">
        <x:v>144</x:v>
      </x:c>
      <x:c r="J47" s="236" t="s">
        <x:v>150</x:v>
      </x:c>
      <x:c r="K47" s="31" t="s">
        <x:v>145</x:v>
      </x:c>
      <x:c r="L47" s="31" t="s">
        <x:v>152</x:v>
      </x:c>
      <x:c r="M47" s="32" t="s">
        <x:v>146</x:v>
      </x:c>
      <x:c r="N47" s="33" t="s">
        <x:v>154</x:v>
      </x:c>
      <x:c r="V47" s="1"/>
    </x:row>
    <x:row r="48" spans="1:22" s="2" customFormat="1" ht="20.100000000000001" customHeight="1">
      <x:c r="A48" s="41" t="s">
        <x:v>151</x:v>
      </x:c>
      <x:c r="B48" s="149" t="s">
        <x:v>1679</x:v>
      </x:c>
      <x:c r="C48" s="149" t="s">
        <x:v>488</x:v>
      </x:c>
      <x:c r="D48" s="150">
        <x:v>485800000</x:v>
      </x:c>
      <x:c r="E48" s="150">
        <x:f>+D48*0.1</x:f>
        <x:v>48580000</x:v>
      </x:c>
      <x:c r="F48" s="40">
        <x:f>+D48+E48</x:f>
        <x:v>534380000</x:v>
      </x:c>
      <x:c r="G48" s="42" t="s">
        <x:v>432</x:v>
      </x:c>
      <x:c r="H48" s="235" t="s">
        <x:v>151</x:v>
      </x:c>
      <x:c r="I48" s="38" t="s">
        <x:v>1679</x:v>
      </x:c>
      <x:c r="J48" s="38" t="s">
        <x:v>156</x:v>
      </x:c>
      <x:c r="K48" s="39">
        <x:v>138800000</x:v>
      </x:c>
      <x:c r="L48" s="39">
        <x:f>+K48*0.1</x:f>
        <x:v>13880000</x:v>
      </x:c>
      <x:c r="M48" s="40">
        <x:f t="shared" ref="M48:M55" si="6">+K48+L48</x:f>
        <x:v>152680000</x:v>
      </x:c>
      <x:c r="N48" s="18" t="s">
        <x:v>1588</x:v>
      </x:c>
      <x:c r="V48" s="1"/>
    </x:row>
    <x:row r="49" spans="1:22" s="2" customFormat="1" ht="20.100000000000001" customHeight="1">
      <x:c r="A49" s="298" t="s">
        <x:v>148</x:v>
      </x:c>
      <x:c r="B49" s="147" t="s">
        <x:v>867</x:v>
      </x:c>
      <x:c r="C49" s="3" t="s">
        <x:v>369</x:v>
      </x:c>
      <x:c r="D49" s="240">
        <x:v>185368930</x:v>
      </x:c>
      <x:c r="E49" s="240">
        <x:f>+D49*0.1</x:f>
        <x:v>18536893</x:v>
      </x:c>
      <x:c r="F49" s="241">
        <x:f t="shared" ref="F49:F60" si="7">+D49+E49</x:f>
        <x:v>203905823</x:v>
      </x:c>
      <x:c r="G49" s="169" t="s">
        <x:v>1611</x:v>
      </x:c>
      <x:c r="H49" s="298" t="s">
        <x:v>148</x:v>
      </x:c>
      <x:c r="I49" s="54" t="s">
        <x:v>867</x:v>
      </x:c>
      <x:c r="J49" s="54" t="s">
        <x:v>440</x:v>
      </x:c>
      <x:c r="K49" s="228">
        <x:v>5292000</x:v>
      </x:c>
      <x:c r="L49" s="93">
        <x:f t="shared" ref="L49:L56" si="8">+K49*0.1</x:f>
        <x:v>529200</x:v>
      </x:c>
      <x:c r="M49" s="94">
        <x:f t="shared" si="6"/>
        <x:v>5821200</x:v>
      </x:c>
      <x:c r="N49" s="95"/>
      <x:c r="V49" s="1"/>
    </x:row>
    <x:row r="50" spans="1:22" s="2" customFormat="1" ht="20.100000000000001" customHeight="1">
      <x:c r="A50" s="299"/>
      <x:c r="B50" s="243" t="s">
        <x:v>867</x:v>
      </x:c>
      <x:c r="C50" s="244" t="s">
        <x:v>137</x:v>
      </x:c>
      <x:c r="D50" s="245">
        <x:v>1150330</x:v>
      </x:c>
      <x:c r="E50" s="246">
        <x:f>+D50*0.1</x:f>
        <x:v>115033</x:v>
      </x:c>
      <x:c r="F50" s="247">
        <x:f t="shared" si="7"/>
        <x:v>1265363</x:v>
      </x:c>
      <x:c r="G50" s="248" t="s">
        <x:v>1520</x:v>
      </x:c>
      <x:c r="H50" s="299"/>
      <x:c r="I50" s="162" t="s">
        <x:v>1348</x:v>
      </x:c>
      <x:c r="J50" s="162" t="s">
        <x:v>383</x:v>
      </x:c>
      <x:c r="K50" s="163">
        <x:v>59500</x:v>
      </x:c>
      <x:c r="L50" s="163">
        <x:f t="shared" si="8"/>
        <x:v>5950</x:v>
      </x:c>
      <x:c r="M50" s="164">
        <x:f t="shared" si="6"/>
        <x:v>65450</x:v>
      </x:c>
      <x:c r="N50" s="158"/>
      <x:c r="V50" s="1"/>
    </x:row>
    <x:row r="51" spans="1:22" s="2" customFormat="1" ht="20.100000000000001" customHeight="1">
      <x:c r="A51" s="299"/>
      <x:c r="B51" s="147" t="s">
        <x:v>1443</x:v>
      </x:c>
      <x:c r="C51" s="3" t="s">
        <x:v>179</x:v>
      </x:c>
      <x:c r="D51" s="163">
        <x:v>9171550</x:v>
      </x:c>
      <x:c r="E51" s="4">
        <x:f>+D51*0.1</x:f>
        <x:v>917155</x:v>
      </x:c>
      <x:c r="F51" s="5">
        <x:f t="shared" si="7"/>
        <x:v>10088705</x:v>
      </x:c>
      <x:c r="G51" s="6"/>
      <x:c r="H51" s="299"/>
      <x:c r="I51" s="3" t="s">
        <x:v>838</x:v>
      </x:c>
      <x:c r="J51" s="3" t="s">
        <x:v>1116</x:v>
      </x:c>
      <x:c r="K51" s="163">
        <x:v>2171000</x:v>
      </x:c>
      <x:c r="L51" s="4">
        <x:f t="shared" si="8"/>
        <x:v>217100</x:v>
      </x:c>
      <x:c r="M51" s="5">
        <x:f t="shared" si="6"/>
        <x:v>2388100</x:v>
      </x:c>
      <x:c r="N51" s="6"/>
      <x:c r="V51" s="1"/>
    </x:row>
    <x:row r="52" spans="1:22" s="2" customFormat="1" ht="20.100000000000001" customHeight="1">
      <x:c r="A52" s="299"/>
      <x:c r="B52" s="3" t="s">
        <x:v>1315</x:v>
      </x:c>
      <x:c r="C52" s="3"/>
      <x:c r="D52" s="163"/>
      <x:c r="E52" s="4"/>
      <x:c r="F52" s="5">
        <x:f t="shared" si="7"/>
        <x:v>0</x:v>
      </x:c>
      <x:c r="G52" s="6" t="s">
        <x:v>1520</x:v>
      </x:c>
      <x:c r="H52" s="299"/>
      <x:c r="I52" s="3" t="s">
        <x:v>1119</x:v>
      </x:c>
      <x:c r="J52" s="3" t="s">
        <x:v>1386</x:v>
      </x:c>
      <x:c r="K52" s="156">
        <x:v>6420000</x:v>
      </x:c>
      <x:c r="L52" s="156">
        <x:f t="shared" si="8"/>
        <x:v>642000</x:v>
      </x:c>
      <x:c r="M52" s="157">
        <x:f t="shared" si="6"/>
        <x:v>7062000</x:v>
      </x:c>
      <x:c r="N52" s="37" t="s">
        <x:v>1611</x:v>
      </x:c>
      <x:c r="V52" s="1"/>
    </x:row>
    <x:row r="53" spans="1:22" s="2" customFormat="1" ht="20.100000000000001" customHeight="1">
      <x:c r="A53" s="299"/>
      <x:c r="B53" s="3" t="s">
        <x:v>1627</x:v>
      </x:c>
      <x:c r="C53" s="3" t="s">
        <x:v>244</x:v>
      </x:c>
      <x:c r="D53" s="156">
        <x:v>12726490</x:v>
      </x:c>
      <x:c r="E53" s="156">
        <x:f>+D53*0.1</x:f>
        <x:v>1272649</x:v>
      </x:c>
      <x:c r="F53" s="157">
        <x:f t="shared" si="7"/>
        <x:v>13999139</x:v>
      </x:c>
      <x:c r="G53" s="37" t="s">
        <x:v>1611</x:v>
      </x:c>
      <x:c r="H53" s="299"/>
      <x:c r="I53" s="3" t="s">
        <x:v>938</x:v>
      </x:c>
      <x:c r="J53" s="3" t="s">
        <x:v>1599</x:v>
      </x:c>
      <x:c r="K53" s="163">
        <x:v>5226000</x:v>
      </x:c>
      <x:c r="L53" s="4">
        <x:f t="shared" si="8"/>
        <x:v>522600</x:v>
      </x:c>
      <x:c r="M53" s="5">
        <x:f t="shared" si="6"/>
        <x:v>5748600</x:v>
      </x:c>
      <x:c r="N53" s="6" t="s">
        <x:v>1431</x:v>
      </x:c>
      <x:c r="V53" s="1"/>
    </x:row>
    <x:row r="54" spans="1:22" s="2" customFormat="1" ht="20.100000000000001" customHeight="1">
      <x:c r="A54" s="299"/>
      <x:c r="B54" s="3" t="s">
        <x:v>1348</x:v>
      </x:c>
      <x:c r="C54" s="3" t="s">
        <x:v>1586</x:v>
      </x:c>
      <x:c r="D54" s="163">
        <x:v>5945678</x:v>
      </x:c>
      <x:c r="E54" s="4">
        <x:f>+D54*0.1-1</x:f>
        <x:v>594566.80000000005</x:v>
      </x:c>
      <x:c r="F54" s="5">
        <x:f t="shared" si="7"/>
        <x:v>6540244.7999999998</x:v>
      </x:c>
      <x:c r="G54" s="6"/>
      <x:c r="H54" s="299"/>
      <x:c r="I54" s="3" t="s">
        <x:v>864</x:v>
      </x:c>
      <x:c r="J54" s="3" t="s">
        <x:v>133</x:v>
      </x:c>
      <x:c r="K54" s="163">
        <x:v>1846000</x:v>
      </x:c>
      <x:c r="L54" s="4">
        <x:f t="shared" si="8"/>
        <x:v>184600</x:v>
      </x:c>
      <x:c r="M54" s="5">
        <x:f t="shared" si="6"/>
        <x:v>2030600</x:v>
      </x:c>
      <x:c r="N54" s="6"/>
      <x:c r="V54" s="1"/>
    </x:row>
    <x:row r="55" spans="1:22" s="2" customFormat="1" ht="20.100000000000001" customHeight="1">
      <x:c r="A55" s="299"/>
      <x:c r="B55" s="3" t="s">
        <x:v>864</x:v>
      </x:c>
      <x:c r="C55" s="3" t="s">
        <x:v>563</x:v>
      </x:c>
      <x:c r="D55" s="163">
        <x:v>862090</x:v>
      </x:c>
      <x:c r="E55" s="4">
        <x:f t="shared" ref="E55:E65" si="9">+D55*0.1</x:f>
        <x:v>86209</x:v>
      </x:c>
      <x:c r="F55" s="5">
        <x:f t="shared" si="7"/>
        <x:v>948299</x:v>
      </x:c>
      <x:c r="G55" s="6"/>
      <x:c r="H55" s="299"/>
      <x:c r="I55" s="3" t="s">
        <x:v>1058</x:v>
      </x:c>
      <x:c r="J55" s="3" t="s">
        <x:v>554</x:v>
      </x:c>
      <x:c r="K55" s="163">
        <x:v>30534500</x:v>
      </x:c>
      <x:c r="L55" s="163">
        <x:f t="shared" si="8"/>
        <x:v>3053450</x:v>
      </x:c>
      <x:c r="M55" s="164">
        <x:f t="shared" si="6"/>
        <x:v>33587950</x:v>
      </x:c>
      <x:c r="N55" s="6"/>
      <x:c r="V55" s="1"/>
    </x:row>
    <x:row r="56" spans="1:22" s="2" customFormat="1" ht="20.100000000000001" customHeight="1">
      <x:c r="A56" s="299"/>
      <x:c r="B56" s="244" t="s">
        <x:v>864</x:v>
      </x:c>
      <x:c r="C56" s="244" t="s">
        <x:v>445</x:v>
      </x:c>
      <x:c r="D56" s="249">
        <x:v>1648990</x:v>
      </x:c>
      <x:c r="E56" s="247">
        <x:f t="shared" si="9"/>
        <x:v>164899</x:v>
      </x:c>
      <x:c r="F56" s="250">
        <x:f t="shared" si="7"/>
        <x:v>1813889</x:v>
      </x:c>
      <x:c r="G56" s="248" t="s">
        <x:v>1520</x:v>
      </x:c>
      <x:c r="H56" s="299"/>
      <x:c r="I56" s="3" t="s">
        <x:v>1378</x:v>
      </x:c>
      <x:c r="J56" s="3" t="s">
        <x:v>1452</x:v>
      </x:c>
      <x:c r="K56" s="163">
        <x:v>4279200</x:v>
      </x:c>
      <x:c r="L56" s="4">
        <x:f t="shared" si="8"/>
        <x:v>427920</x:v>
      </x:c>
      <x:c r="M56" s="5">
        <x:f>+K56+L56</x:f>
        <x:v>4707120</x:v>
      </x:c>
      <x:c r="N56" s="6"/>
      <x:c r="V56" s="1"/>
    </x:row>
    <x:row r="57" spans="1:22" s="2" customFormat="1" ht="20.100000000000001" customHeight="1">
      <x:c r="A57" s="299"/>
      <x:c r="B57" s="3" t="s">
        <x:v>228</x:v>
      </x:c>
      <x:c r="C57" s="3" t="s">
        <x:v>1499</x:v>
      </x:c>
      <x:c r="D57" s="163">
        <x:v>8330000</x:v>
      </x:c>
      <x:c r="E57" s="4">
        <x:f t="shared" si="9"/>
        <x:v>833000</x:v>
      </x:c>
      <x:c r="F57" s="5">
        <x:f t="shared" si="7"/>
        <x:v>9163000</x:v>
      </x:c>
      <x:c r="G57" s="6"/>
      <x:c r="H57" s="299"/>
      <x:c r="I57" s="3" t="s">
        <x:v>1315</x:v>
      </x:c>
      <x:c r="J57" s="3"/>
      <x:c r="K57" s="163"/>
      <x:c r="L57" s="4"/>
      <x:c r="M57" s="5">
        <x:f>+K57+L57</x:f>
        <x:v>0</x:v>
      </x:c>
      <x:c r="N57" s="6"/>
      <x:c r="V57" s="1"/>
    </x:row>
    <x:row r="58" spans="1:22" s="2" customFormat="1" ht="20.100000000000001" customHeight="1">
      <x:c r="A58" s="299"/>
      <x:c r="B58" s="3" t="s">
        <x:v>1319</x:v>
      </x:c>
      <x:c r="C58" s="3" t="s">
        <x:v>1295</x:v>
      </x:c>
      <x:c r="D58" s="163">
        <x:v>84000</x:v>
      </x:c>
      <x:c r="E58" s="4">
        <x:f t="shared" si="9"/>
        <x:v>8400</x:v>
      </x:c>
      <x:c r="F58" s="5">
        <x:f t="shared" si="7"/>
        <x:v>92400</x:v>
      </x:c>
      <x:c r="G58" s="6"/>
      <x:c r="H58" s="299"/>
      <x:c r="I58" s="3" t="s">
        <x:v>846</x:v>
      </x:c>
      <x:c r="J58" s="3" t="s">
        <x:v>1587</x:v>
      </x:c>
      <x:c r="K58" s="163">
        <x:v>2061700</x:v>
      </x:c>
      <x:c r="L58" s="4">
        <x:f>+K58*0.1</x:f>
        <x:v>206170</x:v>
      </x:c>
      <x:c r="M58" s="5">
        <x:f>+K58+L58</x:f>
        <x:v>2267870</x:v>
      </x:c>
      <x:c r="N58" s="6"/>
      <x:c r="V58" s="1"/>
    </x:row>
    <x:row r="59" spans="1:22" s="2" customFormat="1" ht="20.100000000000001" customHeight="1">
      <x:c r="A59" s="299"/>
      <x:c r="B59" s="3" t="s">
        <x:v>566</x:v>
      </x:c>
      <x:c r="C59" s="3" t="s">
        <x:v>1628</x:v>
      </x:c>
      <x:c r="D59" s="156">
        <x:v>9000000</x:v>
      </x:c>
      <x:c r="E59" s="156">
        <x:f t="shared" si="9"/>
        <x:v>900000</x:v>
      </x:c>
      <x:c r="F59" s="157">
        <x:f t="shared" si="7"/>
        <x:v>9900000</x:v>
      </x:c>
      <x:c r="G59" s="37" t="s">
        <x:v>1611</x:v>
      </x:c>
      <x:c r="H59" s="299"/>
      <x:c r="I59" s="3" t="s">
        <x:v>854</x:v>
      </x:c>
      <x:c r="J59" s="3"/>
      <x:c r="K59" s="163"/>
      <x:c r="L59" s="4"/>
      <x:c r="M59" s="5">
        <x:f>+K59+L59</x:f>
        <x:v>0</x:v>
      </x:c>
      <x:c r="N59" s="6"/>
      <x:c r="V59" s="1"/>
    </x:row>
    <x:row r="60" spans="1:22" s="2" customFormat="1" ht="20.100000000000001" customHeight="1">
      <x:c r="A60" s="299"/>
      <x:c r="B60" s="3" t="s">
        <x:v>846</x:v>
      </x:c>
      <x:c r="C60" s="3" t="s">
        <x:v>1603</x:v>
      </x:c>
      <x:c r="D60" s="163">
        <x:v>366000</x:v>
      </x:c>
      <x:c r="E60" s="4">
        <x:f t="shared" si="9"/>
        <x:v>36600</x:v>
      </x:c>
      <x:c r="F60" s="5">
        <x:f t="shared" si="7"/>
        <x:v>402600</x:v>
      </x:c>
      <x:c r="G60" s="6"/>
      <x:c r="H60" s="299"/>
      <x:c r="I60" s="3" t="s">
        <x:v>1608</x:v>
      </x:c>
      <x:c r="J60" s="3" t="s">
        <x:v>302</x:v>
      </x:c>
      <x:c r="K60" s="163">
        <x:v>550000</x:v>
      </x:c>
      <x:c r="L60" s="4">
        <x:f>+K60*0.1</x:f>
        <x:v>55000</x:v>
      </x:c>
      <x:c r="M60" s="5">
        <x:f>+K60+L60</x:f>
        <x:v>605000</x:v>
      </x:c>
      <x:c r="N60" s="6"/>
      <x:c r="V60" s="1"/>
    </x:row>
    <x:row r="61" spans="1:22" s="2" customFormat="1" ht="20.100000000000001" customHeight="1">
      <x:c r="A61" s="299"/>
      <x:c r="B61" s="3" t="s">
        <x:v>483</x:v>
      </x:c>
      <x:c r="C61" s="3" t="s">
        <x:v>544</x:v>
      </x:c>
      <x:c r="D61" s="242">
        <x:v>6262000</x:v>
      </x:c>
      <x:c r="E61" s="156">
        <x:f t="shared" si="9"/>
        <x:v>626200</x:v>
      </x:c>
      <x:c r="F61" s="157">
        <x:f>+D61+E61</x:f>
        <x:v>6888200</x:v>
      </x:c>
      <x:c r="G61" s="37" t="s">
        <x:v>1611</x:v>
      </x:c>
      <x:c r="H61" s="299"/>
      <x:c r="I61" s="3"/>
      <x:c r="J61" s="3"/>
      <x:c r="K61" s="163"/>
      <x:c r="L61" s="4"/>
      <x:c r="M61" s="5"/>
      <x:c r="N61" s="6"/>
      <x:c r="V61" s="1"/>
    </x:row>
    <x:row r="62" spans="1:22" s="2" customFormat="1" ht="20.100000000000001" customHeight="1">
      <x:c r="A62" s="299"/>
      <x:c r="B62" s="3" t="s">
        <x:v>1378</x:v>
      </x:c>
      <x:c r="C62" s="3" t="s">
        <x:v>1152</x:v>
      </x:c>
      <x:c r="D62" s="227">
        <x:v>1867700</x:v>
      </x:c>
      <x:c r="E62" s="4">
        <x:f t="shared" si="9"/>
        <x:v>186770</x:v>
      </x:c>
      <x:c r="F62" s="5">
        <x:f>+D62+E62</x:f>
        <x:v>2054470</x:v>
      </x:c>
      <x:c r="G62" s="37"/>
      <x:c r="H62" s="299"/>
      <x:c r="I62" s="3"/>
      <x:c r="J62" s="3"/>
      <x:c r="K62" s="163"/>
      <x:c r="L62" s="4"/>
      <x:c r="M62" s="5"/>
      <x:c r="N62" s="6"/>
      <x:c r="V62" s="1"/>
    </x:row>
    <x:row r="63" spans="1:22" s="2" customFormat="1" ht="20.100000000000001" customHeight="1">
      <x:c r="A63" s="299"/>
      <x:c r="B63" s="129" t="s">
        <x:v>854</x:v>
      </x:c>
      <x:c r="C63" s="3" t="s">
        <x:v>1704</x:v>
      </x:c>
      <x:c r="D63" s="227">
        <x:v>350700</x:v>
      </x:c>
      <x:c r="E63" s="4">
        <x:f t="shared" si="9"/>
        <x:v>35070</x:v>
      </x:c>
      <x:c r="F63" s="5">
        <x:f>+D63+E63</x:f>
        <x:v>385770</x:v>
      </x:c>
      <x:c r="G63" s="6"/>
      <x:c r="H63" s="299"/>
      <x:c r="I63" s="3"/>
      <x:c r="J63" s="3"/>
      <x:c r="K63" s="163"/>
      <x:c r="L63" s="4"/>
      <x:c r="M63" s="5"/>
      <x:c r="N63" s="6"/>
      <x:c r="V63" s="1"/>
    </x:row>
    <x:row r="64" spans="1:22" s="2" customFormat="1" ht="20.100000000000001" customHeight="1">
      <x:c r="A64" s="299"/>
      <x:c r="B64" s="129" t="s">
        <x:v>1477</x:v>
      </x:c>
      <x:c r="C64" s="129" t="s">
        <x:v>1456</x:v>
      </x:c>
      <x:c r="D64" s="163">
        <x:v>11300000</x:v>
      </x:c>
      <x:c r="E64" s="4">
        <x:f t="shared" si="9"/>
        <x:v>1130000</x:v>
      </x:c>
      <x:c r="F64" s="5">
        <x:f t="shared" ref="F64:F65" si="10">+D64+E64</x:f>
        <x:v>12430000</x:v>
      </x:c>
      <x:c r="G64" s="6"/>
      <x:c r="H64" s="299"/>
      <x:c r="I64" s="3"/>
      <x:c r="J64" s="3"/>
      <x:c r="K64" s="163"/>
      <x:c r="L64" s="4"/>
      <x:c r="M64" s="5"/>
      <x:c r="N64" s="6"/>
      <x:c r="V64" s="1"/>
    </x:row>
    <x:row r="65" spans="1:22" s="2" customFormat="1" ht="20.100000000000001" customHeight="1">
      <x:c r="A65" s="299"/>
      <x:c r="B65" s="129" t="s">
        <x:v>1591</x:v>
      </x:c>
      <x:c r="C65" s="129" t="s">
        <x:v>1438</x:v>
      </x:c>
      <x:c r="D65" s="163">
        <x:v>1579800</x:v>
      </x:c>
      <x:c r="E65" s="4">
        <x:f t="shared" si="9"/>
        <x:v>157980</x:v>
      </x:c>
      <x:c r="F65" s="5">
        <x:f t="shared" si="10"/>
        <x:v>1737780</x:v>
      </x:c>
      <x:c r="G65" s="6" t="s">
        <x:v>1423</x:v>
      </x:c>
      <x:c r="H65" s="300"/>
      <x:c r="I65" s="3"/>
      <x:c r="J65" s="3"/>
      <x:c r="K65" s="163"/>
      <x:c r="L65" s="4"/>
      <x:c r="M65" s="5"/>
      <x:c r="N65" s="6"/>
      <x:c r="V65" s="1"/>
    </x:row>
    <x:row r="66" spans="1:22" s="2" customFormat="1" ht="20.100000000000001" customHeight="1">
      <x:c r="A66" s="7"/>
      <x:c r="B66" s="8"/>
      <x:c r="C66" s="8"/>
      <x:c r="D66" s="80">
        <x:f>SUM(D49:D65)</x:f>
        <x:v>256014258</x:v>
      </x:c>
      <x:c r="E66" s="9">
        <x:f>SUM(E49:E65)</x:f>
        <x:v>25601424.800000001</x:v>
      </x:c>
      <x:c r="F66" s="10">
        <x:f>SUM(F49:F65)</x:f>
        <x:v>281615682.80000001</x:v>
      </x:c>
      <x:c r="G66" s="11"/>
      <x:c r="H66" s="7" t="s">
        <x:v>155</x:v>
      </x:c>
      <x:c r="I66" s="8"/>
      <x:c r="J66" s="8"/>
      <x:c r="K66" s="80">
        <x:f>SUM(K49:K65)</x:f>
        <x:v>58439900</x:v>
      </x:c>
      <x:c r="L66" s="9">
        <x:f>SUM(L49:L65)</x:f>
        <x:v>5843990</x:v>
      </x:c>
      <x:c r="M66" s="10">
        <x:f>SUM(M49:M65)</x:f>
        <x:v>64283890</x:v>
      </x:c>
      <x:c r="N66" s="11"/>
      <x:c r="V66" s="1"/>
    </x:row>
    <x:row r="67" spans="1:22" s="2" customFormat="1" ht="20.100000000000001" customHeight="1">
      <x:c r="A67" s="301" t="s">
        <x:v>153</x:v>
      </x:c>
      <x:c r="B67" s="3" t="s">
        <x:v>1677</x:v>
      </x:c>
      <x:c r="C67" s="3" t="s">
        <x:v>1492</x:v>
      </x:c>
      <x:c r="D67" s="163">
        <x:v>67303400</x:v>
      </x:c>
      <x:c r="E67" s="4"/>
      <x:c r="F67" s="5">
        <x:f>+D67+E67</x:f>
        <x:v>67303400</x:v>
      </x:c>
      <x:c r="G67" s="6" t="s">
        <x:v>1423</x:v>
      </x:c>
      <x:c r="H67" s="301" t="s">
        <x:v>153</x:v>
      </x:c>
      <x:c r="I67" s="3" t="s">
        <x:v>1677</x:v>
      </x:c>
      <x:c r="J67" s="3" t="s">
        <x:v>1308</x:v>
      </x:c>
      <x:c r="K67" s="163">
        <x:v>45830000</x:v>
      </x:c>
      <x:c r="L67" s="44"/>
      <x:c r="M67" s="45">
        <x:f>+K67+L67</x:f>
        <x:v>45830000</x:v>
      </x:c>
      <x:c r="N67" s="37"/>
      <x:c r="V67" s="1"/>
    </x:row>
    <x:row r="68" spans="1:22" s="2" customFormat="1" ht="20.100000000000001" customHeight="1">
      <x:c r="A68" s="299"/>
      <x:c r="B68" s="244" t="s">
        <x:v>1677</x:v>
      </x:c>
      <x:c r="C68" s="244" t="s">
        <x:v>1604</x:v>
      </x:c>
      <x:c r="D68" s="249">
        <x:v>37385000</x:v>
      </x:c>
      <x:c r="E68" s="247"/>
      <x:c r="F68" s="250">
        <x:f>+D68+E68</x:f>
        <x:v>37385000</x:v>
      </x:c>
      <x:c r="G68" s="248" t="s">
        <x:v>1520</x:v>
      </x:c>
      <x:c r="H68" s="299"/>
      <x:c r="I68" s="3" t="s">
        <x:v>1241</x:v>
      </x:c>
      <x:c r="J68" s="3" t="s">
        <x:v>523</x:v>
      </x:c>
      <x:c r="K68" s="163">
        <x:v>9860000</x:v>
      </x:c>
      <x:c r="L68" s="44"/>
      <x:c r="M68" s="45">
        <x:f>+K68+L68</x:f>
        <x:v>9860000</x:v>
      </x:c>
      <x:c r="N68" s="37"/>
      <x:c r="V68" s="1"/>
    </x:row>
    <x:row r="69" spans="1:22" s="2" customFormat="1" ht="20.100000000000001" customHeight="1">
      <x:c r="A69" s="299"/>
      <x:c r="B69" s="154"/>
      <x:c r="C69" s="3"/>
      <x:c r="D69" s="163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163">
        <x:v>2000000</x:v>
      </x:c>
      <x:c r="L69" s="4">
        <x:f>+K69*0.1</x:f>
        <x:v>200000</x:v>
      </x:c>
      <x:c r="M69" s="5">
        <x:f>+K69+L69</x:f>
        <x:v>2200000</x:v>
      </x:c>
      <x:c r="N69" s="6" t="s">
        <x:v>1546</x:v>
      </x:c>
      <x:c r="V69" s="1"/>
    </x:row>
    <x:row r="70" spans="1:22" s="2" customFormat="1" ht="20.100000000000001" customHeight="1">
      <x:c r="A70" s="300"/>
      <x:c r="B70" s="3"/>
      <x:c r="C70" s="3"/>
      <x:c r="D70" s="163"/>
      <x:c r="E70" s="4"/>
      <x:c r="F70" s="5"/>
      <x:c r="G70" s="6"/>
      <x:c r="H70" s="300"/>
      <x:c r="I70" s="3"/>
      <x:c r="J70" s="3"/>
      <x:c r="K70" s="163"/>
      <x:c r="L70" s="4"/>
      <x:c r="M70" s="5">
        <x:f>+K70+L70</x:f>
        <x:v>0</x:v>
      </x:c>
      <x:c r="N70" s="6"/>
      <x:c r="V70" s="1"/>
    </x:row>
    <x:row r="71" spans="1:22" s="2" customFormat="1" ht="20.100000000000001" customHeight="1">
      <x:c r="A71" s="7"/>
      <x:c r="B71" s="8"/>
      <x:c r="C71" s="8"/>
      <x:c r="D71" s="80">
        <x:f>SUM(D67:D70)</x:f>
        <x:v>104688400</x:v>
      </x:c>
      <x:c r="E71" s="9">
        <x:f>SUM(E67:E70)</x:f>
        <x:v>0</x:v>
      </x:c>
      <x:c r="F71" s="10">
        <x:f>SUM(F67:F70)</x:f>
        <x:v>104688400</x:v>
      </x:c>
      <x:c r="G71" s="11"/>
      <x:c r="H71" s="7" t="s">
        <x:v>155</x:v>
      </x:c>
      <x:c r="I71" s="8"/>
      <x:c r="J71" s="8"/>
      <x:c r="K71" s="80">
        <x:f>SUM(K67:K70)</x:f>
        <x:v>57690000</x:v>
      </x:c>
      <x:c r="L71" s="9">
        <x:f>SUM(L67:L70)</x:f>
        <x:v>200000</x:v>
      </x:c>
      <x:c r="M71" s="10">
        <x:f>SUM(M67:M70)</x:f>
        <x:v>57890000</x:v>
      </x:c>
      <x:c r="N71" s="11"/>
      <x:c r="V71" s="1"/>
    </x:row>
    <x:row r="72" spans="1:22" s="2" customFormat="1" ht="20.100000000000001" customHeight="1">
      <x:c r="A72" s="301" t="s">
        <x:v>187</x:v>
      </x:c>
      <x:c r="B72" s="3" t="s">
        <x:v>1124</x:v>
      </x:c>
      <x:c r="C72" s="3" t="s">
        <x:v>1006</x:v>
      </x:c>
      <x:c r="D72" s="163">
        <x:v>1300000</x:v>
      </x:c>
      <x:c r="E72" s="4">
        <x:f>+D72*0.1</x:f>
        <x:v>130000</x:v>
      </x:c>
      <x:c r="F72" s="5">
        <x:f t="shared" ref="F72:F77" si="11">+D72+E72</x:f>
        <x:v>1430000</x:v>
      </x:c>
      <x:c r="G72" s="6"/>
      <x:c r="H72" s="301" t="s">
        <x:v>187</x:v>
      </x:c>
      <x:c r="I72" s="3" t="s">
        <x:v>1461</x:v>
      </x:c>
      <x:c r="J72" s="3" t="s">
        <x:v>1006</x:v>
      </x:c>
      <x:c r="K72" s="163">
        <x:v>1386000</x:v>
      </x:c>
      <x:c r="L72" s="4">
        <x:f>+K72*0.1</x:f>
        <x:v>138600</x:v>
      </x:c>
      <x:c r="M72" s="5">
        <x:f>+K72+L72</x:f>
        <x:v>1524600</x:v>
      </x:c>
      <x:c r="N72" s="6" t="s">
        <x:v>277</x:v>
      </x:c>
      <x:c r="V72" s="1"/>
    </x:row>
    <x:row r="73" spans="1:22" s="2" customFormat="1" ht="20.100000000000001" customHeight="1">
      <x:c r="A73" s="299"/>
      <x:c r="B73" s="178" t="s">
        <x:v>307</x:v>
      </x:c>
      <x:c r="C73" s="3" t="s">
        <x:v>1478</x:v>
      </x:c>
      <x:c r="D73" s="163">
        <x:v>2400000</x:v>
      </x:c>
      <x:c r="E73" s="4">
        <x:f>+D73*0.1</x:f>
        <x:v>240000</x:v>
      </x:c>
      <x:c r="F73" s="5">
        <x:f t="shared" si="11"/>
        <x:v>2640000</x:v>
      </x:c>
      <x:c r="G73" s="6" t="s">
        <x:v>1423</x:v>
      </x:c>
      <x:c r="H73" s="299"/>
      <x:c r="I73" s="3" t="s">
        <x:v>524</x:v>
      </x:c>
      <x:c r="J73" s="3" t="s">
        <x:v>948</x:v>
      </x:c>
      <x:c r="K73" s="163">
        <x:v>120000</x:v>
      </x:c>
      <x:c r="L73" s="4">
        <x:f>+K73*0.1</x:f>
        <x:v>12000</x:v>
      </x:c>
      <x:c r="M73" s="5">
        <x:f>+K73+L73</x:f>
        <x:v>132000</x:v>
      </x:c>
      <x:c r="N73" s="6"/>
      <x:c r="V73" s="1"/>
    </x:row>
    <x:row r="74" spans="1:22" s="2" customFormat="1" ht="20.100000000000001" customHeight="1">
      <x:c r="A74" s="299"/>
      <x:c r="B74" s="3" t="s">
        <x:v>1486</x:v>
      </x:c>
      <x:c r="C74" s="3" t="s">
        <x:v>948</x:v>
      </x:c>
      <x:c r="D74" s="163">
        <x:v>350000</x:v>
      </x:c>
      <x:c r="E74" s="4">
        <x:f>+D74*0.1</x:f>
        <x:v>35000</x:v>
      </x:c>
      <x:c r="F74" s="5">
        <x:f t="shared" si="11"/>
        <x:v>385000</x:v>
      </x:c>
      <x:c r="G74" s="6" t="s">
        <x:v>1546</x:v>
      </x:c>
      <x:c r="H74" s="299"/>
      <x:c r="I74" s="3" t="s">
        <x:v>176</x:v>
      </x:c>
      <x:c r="J74" s="3" t="s">
        <x:v>1081</x:v>
      </x:c>
      <x:c r="K74" s="163">
        <x:v>350000</x:v>
      </x:c>
      <x:c r="L74" s="4">
        <x:f>+K74*0.1</x:f>
        <x:v>35000</x:v>
      </x:c>
      <x:c r="M74" s="5">
        <x:f>+K74+L74</x:f>
        <x:v>385000</x:v>
      </x:c>
      <x:c r="N74" s="6"/>
      <x:c r="V74" s="1"/>
    </x:row>
    <x:row r="75" spans="1:22" s="2" customFormat="1" ht="20.100000000000001" customHeight="1">
      <x:c r="A75" s="299"/>
      <x:c r="B75" s="3" t="s">
        <x:v>1041</x:v>
      </x:c>
      <x:c r="C75" s="3" t="s">
        <x:v>1640</x:v>
      </x:c>
      <x:c r="D75" s="163">
        <x:v>240000</x:v>
      </x:c>
      <x:c r="E75" s="4">
        <x:f>+D75*0.1</x:f>
        <x:v>24000</x:v>
      </x:c>
      <x:c r="F75" s="5">
        <x:f t="shared" si="11"/>
        <x:v>264000</x:v>
      </x:c>
      <x:c r="G75" s="6" t="s">
        <x:v>1423</x:v>
      </x:c>
      <x:c r="H75" s="299"/>
      <x:c r="I75" s="3"/>
      <x:c r="J75" s="3"/>
      <x:c r="K75" s="163"/>
      <x:c r="L75" s="4"/>
      <x:c r="M75" s="5"/>
      <x:c r="N75" s="6"/>
      <x:c r="V75" s="1"/>
    </x:row>
    <x:row r="76" spans="1:22" s="2" customFormat="1" ht="20.100000000000001" customHeight="1">
      <x:c r="A76" s="299"/>
      <x:c r="B76" s="3" t="s">
        <x:v>1619</x:v>
      </x:c>
      <x:c r="C76" s="3" t="s">
        <x:v>1641</x:v>
      </x:c>
      <x:c r="D76" s="163">
        <x:v>500000</x:v>
      </x:c>
      <x:c r="E76" s="4">
        <x:f>+D76*0.1</x:f>
        <x:v>50000</x:v>
      </x:c>
      <x:c r="F76" s="5">
        <x:f t="shared" si="11"/>
        <x:v>550000</x:v>
      </x:c>
      <x:c r="G76" s="6" t="s">
        <x:v>1423</x:v>
      </x:c>
      <x:c r="H76" s="299"/>
      <x:c r="I76" s="3"/>
      <x:c r="J76" s="3"/>
      <x:c r="K76" s="163"/>
      <x:c r="L76" s="4"/>
      <x:c r="M76" s="5"/>
      <x:c r="N76" s="6"/>
      <x:c r="V76" s="1"/>
    </x:row>
    <x:row r="77" spans="1:22" s="2" customFormat="1" ht="20.100000000000001" customHeight="1">
      <x:c r="A77" s="299"/>
      <x:c r="B77" s="3"/>
      <x:c r="C77" s="3"/>
      <x:c r="D77" s="163"/>
      <x:c r="E77" s="4"/>
      <x:c r="F77" s="5">
        <x:f t="shared" si="11"/>
        <x:v>0</x:v>
      </x:c>
      <x:c r="G77" s="6"/>
      <x:c r="H77" s="299"/>
      <x:c r="I77" s="3"/>
      <x:c r="J77" s="3"/>
      <x:c r="K77" s="163"/>
      <x:c r="L77" s="4"/>
      <x:c r="M77" s="5"/>
      <x:c r="N77" s="6"/>
      <x:c r="V77" s="1"/>
    </x:row>
    <x:row r="78" spans="1:22" s="2" customFormat="1" ht="20.100000000000001" customHeight="1">
      <x:c r="A78" s="7"/>
      <x:c r="B78" s="8"/>
      <x:c r="C78" s="8"/>
      <x:c r="D78" s="80">
        <x:f>SUM(D72:D77)</x:f>
        <x:v>4790000</x:v>
      </x:c>
      <x:c r="E78" s="9">
        <x:f>SUM(E72:E77)</x:f>
        <x:v>479000</x:v>
      </x:c>
      <x:c r="F78" s="10">
        <x:f>SUM(F72:F77)</x:f>
        <x:v>5269000</x:v>
      </x:c>
      <x:c r="G78" s="11"/>
      <x:c r="H78" s="7" t="s">
        <x:v>155</x:v>
      </x:c>
      <x:c r="I78" s="8"/>
      <x:c r="J78" s="8"/>
      <x:c r="K78" s="80">
        <x:f>SUM(K72:K77)</x:f>
        <x:v>1856000</x:v>
      </x:c>
      <x:c r="L78" s="9">
        <x:f>SUM(L72:L77)</x:f>
        <x:v>185600</x:v>
      </x:c>
      <x:c r="M78" s="10">
        <x:f>SUM(M72:M77)</x:f>
        <x:v>2041600</x:v>
      </x:c>
      <x:c r="N78" s="11"/>
      <x:c r="V78" s="1"/>
    </x:row>
    <x:row r="79" spans="1:22" s="2" customFormat="1" ht="20.100000000000001" customHeight="1">
      <x:c r="A79" s="301" t="s">
        <x:v>149</x:v>
      </x:c>
      <x:c r="B79" s="3" t="s">
        <x:v>294</x:v>
      </x:c>
      <x:c r="C79" s="3" t="s">
        <x:v>149</x:v>
      </x:c>
      <x:c r="D79" s="4"/>
      <x:c r="E79" s="4"/>
      <x:c r="F79" s="5">
        <x:f t="shared" ref="F79:F86" si="12">+D79+E79</x:f>
        <x:v>0</x:v>
      </x:c>
      <x:c r="G79" s="6"/>
      <x:c r="H79" s="301" t="s">
        <x:v>149</x:v>
      </x:c>
      <x:c r="I79" s="3" t="s">
        <x:v>248</x:v>
      </x:c>
      <x:c r="J79" s="3" t="s">
        <x:v>492</x:v>
      </x:c>
      <x:c r="K79" s="163">
        <x:v>660600</x:v>
      </x:c>
      <x:c r="L79" s="4"/>
      <x:c r="M79" s="5">
        <x:f>+K79+L79</x:f>
        <x:v>660600</x:v>
      </x:c>
      <x:c r="N79" s="6"/>
      <x:c r="V79" s="1"/>
    </x:row>
    <x:row r="80" spans="1:22" s="2" customFormat="1" ht="20.100000000000001" customHeight="1">
      <x:c r="A80" s="299"/>
      <x:c r="B80" s="3" t="s">
        <x:v>284</x:v>
      </x:c>
      <x:c r="C80" s="3" t="s">
        <x:v>149</x:v>
      </x:c>
      <x:c r="D80" s="163"/>
      <x:c r="E80" s="4"/>
      <x:c r="F80" s="5">
        <x:f t="shared" si="12"/>
        <x:v>0</x:v>
      </x:c>
      <x:c r="G80" s="6" t="s">
        <x:v>1520</x:v>
      </x:c>
      <x:c r="H80" s="299"/>
      <x:c r="I80" s="3" t="s">
        <x:v>284</x:v>
      </x:c>
      <x:c r="J80" s="3" t="s">
        <x:v>492</x:v>
      </x:c>
      <x:c r="K80" s="163">
        <x:v>605090</x:v>
      </x:c>
      <x:c r="L80" s="4"/>
      <x:c r="M80" s="5">
        <x:f t="shared" ref="M80:M91" si="13">+K80+L80</x:f>
        <x:v>605090</x:v>
      </x:c>
      <x:c r="N80" s="6"/>
      <x:c r="V80" s="1"/>
    </x:row>
    <x:row r="81" spans="1:22" s="2" customFormat="1" ht="20.100000000000001" customHeight="1">
      <x:c r="A81" s="299"/>
      <x:c r="B81" s="3" t="s">
        <x:v>1680</x:v>
      </x:c>
      <x:c r="C81" s="3" t="s">
        <x:v>914</x:v>
      </x:c>
      <x:c r="D81" s="163">
        <x:v>100000</x:v>
      </x:c>
      <x:c r="E81" s="4">
        <x:f t="shared" ref="E81:E86" si="14">+D81*0.1</x:f>
        <x:v>10000</x:v>
      </x:c>
      <x:c r="F81" s="5">
        <x:f t="shared" si="12"/>
        <x:v>110000</x:v>
      </x:c>
      <x:c r="G81" s="6"/>
      <x:c r="H81" s="299"/>
      <x:c r="I81" s="3" t="s">
        <x:v>249</x:v>
      </x:c>
      <x:c r="J81" s="3" t="s">
        <x:v>608</x:v>
      </x:c>
      <x:c r="K81" s="163">
        <x:v>550000</x:v>
      </x:c>
      <x:c r="L81" s="4"/>
      <x:c r="M81" s="5">
        <x:f t="shared" si="13"/>
        <x:v>550000</x:v>
      </x:c>
      <x:c r="N81" s="6"/>
      <x:c r="V81" s="1"/>
    </x:row>
    <x:row r="82" spans="1:22" s="2" customFormat="1" ht="20.100000000000001" customHeight="1">
      <x:c r="A82" s="299"/>
      <x:c r="B82" s="3" t="s">
        <x:v>883</x:v>
      </x:c>
      <x:c r="C82" s="3" t="s">
        <x:v>1417</x:v>
      </x:c>
      <x:c r="D82" s="163">
        <x:v>200000</x:v>
      </x:c>
      <x:c r="E82" s="4">
        <x:f t="shared" si="14"/>
        <x:v>20000</x:v>
      </x:c>
      <x:c r="F82" s="5">
        <x:f t="shared" si="12"/>
        <x:v>220000</x:v>
      </x:c>
      <x:c r="G82" s="6" t="s">
        <x:v>250</x:v>
      </x:c>
      <x:c r="H82" s="299"/>
      <x:c r="I82" s="3" t="s">
        <x:v>262</x:v>
      </x:c>
      <x:c r="J82" s="3" t="s">
        <x:v>530</x:v>
      </x:c>
      <x:c r="K82" s="163">
        <x:v>550000</x:v>
      </x:c>
      <x:c r="L82" s="4"/>
      <x:c r="M82" s="5">
        <x:f t="shared" si="13"/>
        <x:v>550000</x:v>
      </x:c>
      <x:c r="N82" s="6"/>
      <x:c r="V82" s="1"/>
    </x:row>
    <x:row r="83" spans="1:22" s="2" customFormat="1" ht="20.100000000000001" customHeight="1">
      <x:c r="A83" s="299"/>
      <x:c r="B83" s="3" t="s">
        <x:v>247</x:v>
      </x:c>
      <x:c r="C83" s="3" t="s">
        <x:v>231</x:v>
      </x:c>
      <x:c r="D83" s="163">
        <x:v>21000</x:v>
      </x:c>
      <x:c r="E83" s="4">
        <x:f t="shared" si="14"/>
        <x:v>2100</x:v>
      </x:c>
      <x:c r="F83" s="5">
        <x:f t="shared" si="12"/>
        <x:v>23100</x:v>
      </x:c>
      <x:c r="G83" s="6"/>
      <x:c r="H83" s="299"/>
      <x:c r="I83" s="3" t="s">
        <x:v>289</x:v>
      </x:c>
      <x:c r="J83" s="3" t="s">
        <x:v>608</x:v>
      </x:c>
      <x:c r="K83" s="163">
        <x:v>580000</x:v>
      </x:c>
      <x:c r="L83" s="4"/>
      <x:c r="M83" s="5">
        <x:f t="shared" si="13"/>
        <x:v>580000</x:v>
      </x:c>
      <x:c r="N83" s="6"/>
      <x:c r="V83" s="1"/>
    </x:row>
    <x:row r="84" spans="1:22" s="2" customFormat="1" ht="20.100000000000001" customHeight="1">
      <x:c r="A84" s="299"/>
      <x:c r="B84" s="3" t="s">
        <x:v>1442</x:v>
      </x:c>
      <x:c r="C84" s="3" t="s">
        <x:v>167</x:v>
      </x:c>
      <x:c r="D84" s="163">
        <x:v>200000</x:v>
      </x:c>
      <x:c r="E84" s="4">
        <x:f t="shared" si="14"/>
        <x:v>20000</x:v>
      </x:c>
      <x:c r="F84" s="5">
        <x:f t="shared" si="12"/>
        <x:v>220000</x:v>
      </x:c>
      <x:c r="G84" s="6"/>
      <x:c r="H84" s="299"/>
      <x:c r="I84" s="3" t="s">
        <x:v>947</x:v>
      </x:c>
      <x:c r="J84" s="3" t="s">
        <x:v>914</x:v>
      </x:c>
      <x:c r="K84" s="163">
        <x:v>100000</x:v>
      </x:c>
      <x:c r="L84" s="4">
        <x:f>+K84*0.1</x:f>
        <x:v>10000</x:v>
      </x:c>
      <x:c r="M84" s="5">
        <x:f t="shared" si="13"/>
        <x:v>110000</x:v>
      </x:c>
      <x:c r="N84" s="6"/>
      <x:c r="V84" s="1"/>
    </x:row>
    <x:row r="85" spans="1:22" s="2" customFormat="1" ht="20.100000000000001" customHeight="1">
      <x:c r="A85" s="299"/>
      <x:c r="B85" s="244" t="s">
        <x:v>1555</x:v>
      </x:c>
      <x:c r="C85" s="244" t="s">
        <x:v>1598</x:v>
      </x:c>
      <x:c r="D85" s="249">
        <x:v>1128000</x:v>
      </x:c>
      <x:c r="E85" s="247">
        <x:f t="shared" si="14"/>
        <x:v>112800</x:v>
      </x:c>
      <x:c r="F85" s="250">
        <x:f t="shared" si="12"/>
        <x:v>1240800</x:v>
      </x:c>
      <x:c r="G85" s="248" t="s">
        <x:v>1520</x:v>
      </x:c>
      <x:c r="H85" s="299"/>
      <x:c r="I85" s="3" t="s">
        <x:v>883</x:v>
      </x:c>
      <x:c r="J85" s="3" t="s">
        <x:v>1417</x:v>
      </x:c>
      <x:c r="K85" s="163"/>
      <x:c r="L85" s="4"/>
      <x:c r="M85" s="5">
        <x:f t="shared" si="13"/>
        <x:v>0</x:v>
      </x:c>
      <x:c r="N85" s="6" t="s">
        <x:v>1489</x:v>
      </x:c>
      <x:c r="V85" s="1"/>
    </x:row>
    <x:row r="86" spans="1:22" s="2" customFormat="1" ht="20.100000000000001" customHeight="1">
      <x:c r="A86" s="299"/>
      <x:c r="B86" s="244" t="s">
        <x:v>1582</x:v>
      </x:c>
      <x:c r="C86" s="244" t="s">
        <x:v>290</x:v>
      </x:c>
      <x:c r="D86" s="247">
        <x:v>1050000</x:v>
      </x:c>
      <x:c r="E86" s="247">
        <x:f t="shared" si="14"/>
        <x:v>105000</x:v>
      </x:c>
      <x:c r="F86" s="250">
        <x:f t="shared" si="12"/>
        <x:v>1155000</x:v>
      </x:c>
      <x:c r="G86" s="248" t="s">
        <x:v>1520</x:v>
      </x:c>
      <x:c r="H86" s="299"/>
      <x:c r="I86" s="3" t="s">
        <x:v>1340</x:v>
      </x:c>
      <x:c r="J86" s="3" t="s">
        <x:v>28</x:v>
      </x:c>
      <x:c r="K86" s="163">
        <x:v>1534000</x:v>
      </x:c>
      <x:c r="L86" s="4">
        <x:f>+K86*0.1</x:f>
        <x:v>153400</x:v>
      </x:c>
      <x:c r="M86" s="5">
        <x:f t="shared" si="13"/>
        <x:v>1687400</x:v>
      </x:c>
      <x:c r="N86" s="6"/>
      <x:c r="V86" s="1"/>
    </x:row>
    <x:row r="87" spans="1:22" s="2" customFormat="1" ht="20.100000000000001" customHeight="1">
      <x:c r="A87" s="299"/>
      <x:c r="B87" s="3" t="s">
        <x:v>313</x:v>
      </x:c>
      <x:c r="C87" s="3" t="s">
        <x:v>301</x:v>
      </x:c>
      <x:c r="D87" s="4"/>
      <x:c r="E87" s="4"/>
      <x:c r="F87" s="5">
        <x:f>+D87+E87</x:f>
        <x:v>0</x:v>
      </x:c>
      <x:c r="G87" s="6" t="s">
        <x:v>1520</x:v>
      </x:c>
      <x:c r="H87" s="299"/>
      <x:c r="I87" s="3" t="s">
        <x:v>1513</x:v>
      </x:c>
      <x:c r="J87" s="3" t="s">
        <x:v>825</x:v>
      </x:c>
      <x:c r="K87" s="163">
        <x:v>896000</x:v>
      </x:c>
      <x:c r="L87" s="4">
        <x:f>+K87*0.1</x:f>
        <x:v>89600</x:v>
      </x:c>
      <x:c r="M87" s="5">
        <x:f t="shared" si="13"/>
        <x:v>985600</x:v>
      </x:c>
      <x:c r="N87" s="6" t="s">
        <x:v>1546</x:v>
      </x:c>
      <x:c r="V87" s="1"/>
    </x:row>
    <x:row r="88" spans="1:22" s="2" customFormat="1" ht="20.100000000000001" customHeight="1">
      <x:c r="A88" s="299"/>
      <x:c r="B88" s="3"/>
      <x:c r="C88" s="3"/>
      <x:c r="D88" s="4"/>
      <x:c r="E88" s="4"/>
      <x:c r="F88" s="5">
        <x:f>+D88+E88</x:f>
        <x:v>0</x:v>
      </x:c>
      <x:c r="G88" s="6"/>
      <x:c r="H88" s="299"/>
      <x:c r="I88" s="3" t="s">
        <x:v>247</x:v>
      </x:c>
      <x:c r="J88" s="3" t="s">
        <x:v>231</x:v>
      </x:c>
      <x:c r="K88" s="163">
        <x:f>21000+4800</x:f>
        <x:v>25800</x:v>
      </x:c>
      <x:c r="L88" s="4">
        <x:f>+K88*0.1</x:f>
        <x:v>2580</x:v>
      </x:c>
      <x:c r="M88" s="5">
        <x:f t="shared" si="13"/>
        <x:v>28380</x:v>
      </x:c>
      <x:c r="N88" s="6" t="s">
        <x:v>1451</x:v>
      </x:c>
      <x:c r="V88" s="1"/>
    </x:row>
    <x:row r="89" spans="1:22" s="2" customFormat="1" ht="20.100000000000001" customHeight="1">
      <x:c r="A89" s="299"/>
      <x:c r="B89" s="3"/>
      <x:c r="C89" s="3"/>
      <x:c r="D89" s="4"/>
      <x:c r="E89" s="4"/>
      <x:c r="F89" s="5">
        <x:f>+D89+E89</x:f>
        <x:v>0</x:v>
      </x:c>
      <x:c r="G89" s="6"/>
      <x:c r="H89" s="299"/>
      <x:c r="I89" s="3" t="s">
        <x:v>926</x:v>
      </x:c>
      <x:c r="J89" s="3" t="s">
        <x:v>404</x:v>
      </x:c>
      <x:c r="K89" s="163">
        <x:v>385340</x:v>
      </x:c>
      <x:c r="L89" s="4"/>
      <x:c r="M89" s="5">
        <x:f t="shared" si="13"/>
        <x:v>385340</x:v>
      </x:c>
      <x:c r="N89" s="6"/>
      <x:c r="V89" s="1"/>
    </x:row>
    <x:row r="90" spans="1:22" s="2" customFormat="1" ht="20.100000000000001" customHeight="1">
      <x:c r="A90" s="299"/>
      <x:c r="B90" s="3"/>
      <x:c r="C90" s="3"/>
      <x:c r="D90" s="4"/>
      <x:c r="E90" s="4"/>
      <x:c r="F90" s="5">
        <x:f>+D90+E90</x:f>
        <x:v>0</x:v>
      </x:c>
      <x:c r="G90" s="6"/>
      <x:c r="H90" s="299"/>
      <x:c r="I90" s="3" t="s">
        <x:v>1429</x:v>
      </x:c>
      <x:c r="J90" s="3" t="s">
        <x:v>167</x:v>
      </x:c>
      <x:c r="K90" s="163"/>
      <x:c r="L90" s="4"/>
      <x:c r="M90" s="5"/>
      <x:c r="N90" s="6"/>
      <x:c r="V90" s="1"/>
    </x:row>
    <x:row r="91" spans="1:22" s="2" customFormat="1" ht="20.100000000000001" customHeight="1">
      <x:c r="A91" s="299"/>
      <x:c r="B91" s="3"/>
      <x:c r="C91" s="3"/>
      <x:c r="D91" s="4"/>
      <x:c r="E91" s="4"/>
      <x:c r="F91" s="5">
        <x:f>+D91+E91</x:f>
        <x:v>0</x:v>
      </x:c>
      <x:c r="G91" s="6"/>
      <x:c r="H91" s="299"/>
      <x:c r="I91" s="3"/>
      <x:c r="J91" s="3"/>
      <x:c r="K91" s="163"/>
      <x:c r="L91" s="4"/>
      <x:c r="M91" s="5">
        <x:f t="shared" si="13"/>
        <x:v>0</x:v>
      </x:c>
      <x:c r="N91" s="6"/>
      <x:c r="V91" s="1"/>
    </x:row>
    <x:row r="92" spans="1:22" s="2" customFormat="1" ht="20.100000000000001" customHeight="1">
      <x:c r="A92" s="7"/>
      <x:c r="B92" s="8"/>
      <x:c r="C92" s="8"/>
      <x:c r="D92" s="9">
        <x:f>SUM(D79:D91)</x:f>
        <x:v>2699000</x:v>
      </x:c>
      <x:c r="E92" s="9">
        <x:f>SUM(E79:E91)</x:f>
        <x:v>269900</x:v>
      </x:c>
      <x:c r="F92" s="10">
        <x:f>SUM(F79:F91)</x:f>
        <x:v>2968900</x:v>
      </x:c>
      <x:c r="G92" s="11"/>
      <x:c r="H92" s="7" t="s">
        <x:v>155</x:v>
      </x:c>
      <x:c r="I92" s="8"/>
      <x:c r="J92" s="8"/>
      <x:c r="K92" s="9">
        <x:f>SUM(K79:K91)</x:f>
        <x:v>5886830</x:v>
      </x:c>
      <x:c r="L92" s="9">
        <x:f>SUM(L79:L91)</x:f>
        <x:v>255580</x:v>
      </x:c>
      <x:c r="M92" s="10">
        <x:f>SUM(M79:M91)</x:f>
        <x:v>6142410</x:v>
      </x:c>
      <x:c r="N92" s="11"/>
      <x:c r="V92" s="1"/>
    </x:row>
    <x:row r="93" spans="1:22" s="2" customFormat="1" ht="20.100000000000001" customHeight="1">
      <x:c r="A93" s="12" t="s">
        <x:v>1690</x:v>
      </x:c>
      <x:c r="B93" s="13"/>
      <x:c r="C93" s="13"/>
      <x:c r="D93" s="14">
        <x:f>+D66+D71+D78+D92</x:f>
        <x:v>368191658</x:v>
      </x:c>
      <x:c r="E93" s="14">
        <x:f>+E66+E71+E78+E92</x:f>
        <x:v>26350324.800000001</x:v>
      </x:c>
      <x:c r="F93" s="15">
        <x:f>+F66+F71+F78+F92</x:f>
        <x:v>394541982.80000001</x:v>
      </x:c>
      <x:c r="G93" s="16"/>
      <x:c r="H93" s="12" t="s">
        <x:v>1690</x:v>
      </x:c>
      <x:c r="I93" s="13"/>
      <x:c r="J93" s="13"/>
      <x:c r="K93" s="14">
        <x:f>+K66+K71+K78+K92</x:f>
        <x:v>123872730</x:v>
      </x:c>
      <x:c r="L93" s="14">
        <x:f>+L66+L71+L78+L92</x:f>
        <x:v>6485170</x:v>
      </x:c>
      <x:c r="M93" s="15">
        <x:f>+M66+M71+M78+M92</x:f>
        <x:v>130357900</x:v>
      </x:c>
      <x:c r="N93" s="16"/>
      <x:c r="V93" s="1"/>
    </x:row>
    <x:row r="94" spans="1:22" s="2" customFormat="1" ht="20.100000000000001" customHeight="1">
      <x:c r="A94" s="23" t="s">
        <x:v>35</x:v>
      </x:c>
      <x:c r="B94" s="24"/>
      <x:c r="C94" s="24"/>
      <x:c r="D94" s="25">
        <x:f>+D48-D93</x:f>
        <x:v>117608342</x:v>
      </x:c>
      <x:c r="E94" s="25">
        <x:f>+E48-E93</x:f>
        <x:v>22229675.199999999</x:v>
      </x:c>
      <x:c r="F94" s="26">
        <x:f>+F48-F93</x:f>
        <x:v>139838017.19999999</x:v>
      </x:c>
      <x:c r="G94" s="27"/>
      <x:c r="H94" s="23" t="s">
        <x:v>35</x:v>
      </x:c>
      <x:c r="I94" s="24"/>
      <x:c r="J94" s="24"/>
      <x:c r="K94" s="25">
        <x:f>+K48-K93</x:f>
        <x:v>14927270</x:v>
      </x:c>
      <x:c r="L94" s="25">
        <x:f>+L48-L93</x:f>
        <x:v>7394830</x:v>
      </x:c>
      <x:c r="M94" s="26">
        <x:f>+M48-M93</x:f>
        <x:v>22322100</x:v>
      </x:c>
      <x:c r="N94" s="27"/>
      <x:c r="V94" s="1"/>
    </x:row>
    <x:row r="95" spans="1:22" s="2" customFormat="1" ht="20.100000000000001" customHeight="1">
      <x:c r="A95" s="302" t="s">
        <x:v>415</x:v>
      </x:c>
      <x:c r="B95" s="303"/>
      <x:c r="C95" s="303"/>
      <x:c r="D95" s="303"/>
      <x:c r="E95" s="303"/>
      <x:c r="F95" s="304"/>
      <x:c r="G95" s="305"/>
      <x:c r="H95" s="302" t="s">
        <x:v>466</x:v>
      </x:c>
      <x:c r="I95" s="303"/>
      <x:c r="J95" s="303"/>
      <x:c r="K95" s="303"/>
      <x:c r="L95" s="303"/>
      <x:c r="M95" s="304"/>
      <x:c r="N95" s="305"/>
      <x:c r="V95" s="1"/>
    </x:row>
    <x:row r="96" spans="1:22" s="2" customFormat="1" ht="20.100000000000001" customHeight="1">
      <x:c r="A96" s="29" t="s">
        <x:v>147</x:v>
      </x:c>
      <x:c r="B96" s="236" t="s">
        <x:v>144</x:v>
      </x:c>
      <x:c r="C96" s="236" t="s">
        <x:v>150</x:v>
      </x:c>
      <x:c r="D96" s="31" t="s">
        <x:v>145</x:v>
      </x:c>
      <x:c r="E96" s="31" t="s">
        <x:v>152</x:v>
      </x:c>
      <x:c r="F96" s="31" t="s">
        <x:v>146</x:v>
      </x:c>
      <x:c r="G96" s="34" t="s">
        <x:v>154</x:v>
      </x:c>
      <x:c r="H96" s="29" t="s">
        <x:v>147</x:v>
      </x:c>
      <x:c r="I96" s="236" t="s">
        <x:v>144</x:v>
      </x:c>
      <x:c r="J96" s="236" t="s">
        <x:v>150</x:v>
      </x:c>
      <x:c r="K96" s="31" t="s">
        <x:v>145</x:v>
      </x:c>
      <x:c r="L96" s="31" t="s">
        <x:v>152</x:v>
      </x:c>
      <x:c r="M96" s="32" t="s">
        <x:v>146</x:v>
      </x:c>
      <x:c r="N96" s="33" t="s">
        <x:v>154</x:v>
      </x:c>
      <x:c r="V96" s="1"/>
    </x:row>
    <x:row r="97" spans="1:22" s="2" customFormat="1" ht="20.100000000000001" customHeight="1">
      <x:c r="A97" s="41" t="s">
        <x:v>151</x:v>
      </x:c>
      <x:c r="B97" s="38" t="s">
        <x:v>1679</x:v>
      </x:c>
      <x:c r="C97" s="38" t="s">
        <x:v>791</x:v>
      </x:c>
      <x:c r="D97" s="39"/>
      <x:c r="E97" s="39">
        <x:f>+D97*0.1</x:f>
        <x:v>0</x:v>
      </x:c>
      <x:c r="F97" s="40">
        <x:f>+D97+E97</x:f>
        <x:v>0</x:v>
      </x:c>
      <x:c r="G97" s="42"/>
      <x:c r="H97" s="235" t="s">
        <x:v>151</x:v>
      </x:c>
      <x:c r="I97" s="38" t="s">
        <x:v>1679</x:v>
      </x:c>
      <x:c r="J97" s="38" t="s">
        <x:v>791</x:v>
      </x:c>
      <x:c r="K97" s="39">
        <x:f>154000000+K98+K102</x:f>
        <x:v>179790540</x:v>
      </x:c>
      <x:c r="L97" s="39">
        <x:f>154000000*0.1</x:f>
        <x:v>15400000</x:v>
      </x:c>
      <x:c r="M97" s="40">
        <x:f t="shared" ref="M97:M119" si="15">+K97+L97</x:f>
        <x:v>195190540</x:v>
      </x:c>
      <x:c r="N97" s="18" t="s">
        <x:v>1473</x:v>
      </x:c>
      <x:c r="V97" s="1"/>
    </x:row>
    <x:row r="98" spans="1:22" s="2" customFormat="1" ht="20.100000000000001" customHeight="1">
      <x:c r="A98" s="298" t="s">
        <x:v>148</x:v>
      </x:c>
      <x:c r="B98" s="19" t="s">
        <x:v>867</x:v>
      </x:c>
      <x:c r="C98" s="256"/>
      <x:c r="D98" s="225"/>
      <x:c r="E98" s="225"/>
      <x:c r="F98" s="257"/>
      <x:c r="G98" s="258"/>
      <x:c r="H98" s="298" t="s">
        <x:v>148</x:v>
      </x:c>
      <x:c r="I98" s="54" t="s">
        <x:v>867</x:v>
      </x:c>
      <x:c r="J98" s="54" t="s">
        <x:v>374</x:v>
      </x:c>
      <x:c r="K98" s="226">
        <x:v>7314540</x:v>
      </x:c>
      <x:c r="L98" s="93">
        <x:f t="shared" ref="L98:L103" si="16">+K98*0.1</x:f>
        <x:v>731454</x:v>
      </x:c>
      <x:c r="M98" s="94">
        <x:f t="shared" si="15"/>
        <x:v>8045994</x:v>
      </x:c>
      <x:c r="N98" s="22" t="s">
        <x:v>532</x:v>
      </x:c>
      <x:c r="V98" s="1"/>
    </x:row>
    <x:row r="99" spans="1:22" s="2" customFormat="1" ht="20.100000000000001" customHeight="1">
      <x:c r="A99" s="299"/>
      <x:c r="B99" s="3" t="s">
        <x:v>1315</x:v>
      </x:c>
      <x:c r="C99" s="3"/>
      <x:c r="D99" s="44"/>
      <x:c r="E99" s="4"/>
      <x:c r="F99" s="5">
        <x:f t="shared" ref="F99:F104" si="17">+D99+E99</x:f>
        <x:v>0</x:v>
      </x:c>
      <x:c r="G99" s="6"/>
      <x:c r="H99" s="299"/>
      <x:c r="I99" s="162" t="s">
        <x:v>867</x:v>
      </x:c>
      <x:c r="J99" s="162" t="s">
        <x:v>369</x:v>
      </x:c>
      <x:c r="K99" s="156">
        <x:v>57388960</x:v>
      </x:c>
      <x:c r="L99" s="156">
        <x:f t="shared" si="16"/>
        <x:v>5738896</x:v>
      </x:c>
      <x:c r="M99" s="157">
        <x:f t="shared" si="15"/>
        <x:v>63127856</x:v>
      </x:c>
      <x:c r="N99" s="158" t="s">
        <x:v>1611</x:v>
      </x:c>
      <x:c r="V99" s="1"/>
    </x:row>
    <x:row r="100" spans="1:22" s="2" customFormat="1" ht="20.100000000000001" customHeight="1">
      <x:c r="A100" s="299"/>
      <x:c r="B100" s="3" t="s">
        <x:v>846</x:v>
      </x:c>
      <x:c r="C100" s="3"/>
      <x:c r="D100" s="44"/>
      <x:c r="E100" s="4"/>
      <x:c r="F100" s="5">
        <x:f t="shared" si="17"/>
        <x:v>0</x:v>
      </x:c>
      <x:c r="G100" s="6"/>
      <x:c r="H100" s="299"/>
      <x:c r="I100" s="3" t="s">
        <x:v>902</x:v>
      </x:c>
      <x:c r="J100" s="3" t="s">
        <x:v>1179</x:v>
      </x:c>
      <x:c r="K100" s="163">
        <x:v>313400</x:v>
      </x:c>
      <x:c r="L100" s="4">
        <x:f t="shared" si="16"/>
        <x:v>31340</x:v>
      </x:c>
      <x:c r="M100" s="5">
        <x:f t="shared" si="15"/>
        <x:v>344740</x:v>
      </x:c>
      <x:c r="N100" s="6"/>
      <x:c r="V100" s="1"/>
    </x:row>
    <x:row r="101" spans="1:22" s="2" customFormat="1" ht="20.100000000000001" customHeight="1">
      <x:c r="A101" s="299"/>
      <x:c r="B101" s="3" t="s">
        <x:v>1553</x:v>
      </x:c>
      <x:c r="C101" s="3"/>
      <x:c r="D101" s="44"/>
      <x:c r="E101" s="4"/>
      <x:c r="F101" s="5">
        <x:f t="shared" si="17"/>
        <x:v>0</x:v>
      </x:c>
      <x:c r="G101" s="6"/>
      <x:c r="H101" s="299"/>
      <x:c r="I101" s="3" t="s">
        <x:v>938</x:v>
      </x:c>
      <x:c r="J101" s="3" t="s">
        <x:v>191</x:v>
      </x:c>
      <x:c r="K101" s="163">
        <x:v>1425000</x:v>
      </x:c>
      <x:c r="L101" s="4">
        <x:f t="shared" si="16"/>
        <x:v>142500</x:v>
      </x:c>
      <x:c r="M101" s="5">
        <x:f t="shared" si="15"/>
        <x:v>1567500</x:v>
      </x:c>
      <x:c r="N101" s="6"/>
      <x:c r="V101" s="1"/>
    </x:row>
    <x:row r="102" spans="1:22" s="2" customFormat="1" ht="20.100000000000001" customHeight="1">
      <x:c r="A102" s="299"/>
      <x:c r="B102" s="3" t="s">
        <x:v>838</x:v>
      </x:c>
      <x:c r="C102" s="3"/>
      <x:c r="D102" s="44"/>
      <x:c r="E102" s="4"/>
      <x:c r="F102" s="5">
        <x:f t="shared" si="17"/>
        <x:v>0</x:v>
      </x:c>
      <x:c r="G102" s="6"/>
      <x:c r="H102" s="299"/>
      <x:c r="I102" s="3" t="s">
        <x:v>483</x:v>
      </x:c>
      <x:c r="J102" s="3" t="s">
        <x:v>1207</x:v>
      </x:c>
      <x:c r="K102" s="163">
        <x:v>18476000</x:v>
      </x:c>
      <x:c r="L102" s="4">
        <x:f t="shared" si="16"/>
        <x:v>1847600</x:v>
      </x:c>
      <x:c r="M102" s="5">
        <x:f t="shared" si="15"/>
        <x:v>20323600</x:v>
      </x:c>
      <x:c r="N102" s="6" t="s">
        <x:v>532</x:v>
      </x:c>
      <x:c r="V102" s="1"/>
    </x:row>
    <x:row r="103" spans="1:22" s="2" customFormat="1" ht="20.100000000000001" customHeight="1">
      <x:c r="A103" s="299"/>
      <x:c r="B103" s="3" t="s">
        <x:v>1378</x:v>
      </x:c>
      <x:c r="C103" s="3" t="s">
        <x:v>1621</x:v>
      </x:c>
      <x:c r="D103" s="44">
        <x:v>25400</x:v>
      </x:c>
      <x:c r="E103" s="4">
        <x:f>+D103*0.1</x:f>
        <x:v>2540</x:v>
      </x:c>
      <x:c r="F103" s="5">
        <x:f t="shared" si="17"/>
        <x:v>27940</x:v>
      </x:c>
      <x:c r="G103" s="6"/>
      <x:c r="H103" s="299"/>
      <x:c r="I103" s="3" t="s">
        <x:v>483</x:v>
      </x:c>
      <x:c r="J103" s="162" t="s">
        <x:v>1320</x:v>
      </x:c>
      <x:c r="K103" s="163">
        <x:v>79400</x:v>
      </x:c>
      <x:c r="L103" s="163">
        <x:f t="shared" si="16"/>
        <x:v>7940</x:v>
      </x:c>
      <x:c r="M103" s="164">
        <x:f t="shared" si="15"/>
        <x:v>87340</x:v>
      </x:c>
      <x:c r="N103" s="6"/>
      <x:c r="V103" s="1"/>
    </x:row>
    <x:row r="104" spans="1:22" s="2" customFormat="1" ht="20.100000000000001" customHeight="1">
      <x:c r="A104" s="299"/>
      <x:c r="B104" s="3" t="s">
        <x:v>1058</x:v>
      </x:c>
      <x:c r="C104" s="3" t="s">
        <x:v>387</x:v>
      </x:c>
      <x:c r="D104" s="44">
        <x:v>10791730</x:v>
      </x:c>
      <x:c r="E104" s="4">
        <x:f>+D104*0.1</x:f>
        <x:v>1079173</x:v>
      </x:c>
      <x:c r="F104" s="5">
        <x:f t="shared" si="17"/>
        <x:v>11870903</x:v>
      </x:c>
      <x:c r="G104" s="6" t="s">
        <x:v>1593</x:v>
      </x:c>
      <x:c r="H104" s="299"/>
      <x:c r="I104" s="162" t="s">
        <x:v>1348</x:v>
      </x:c>
      <x:c r="J104" s="162" t="s">
        <x:v>1586</x:v>
      </x:c>
      <x:c r="K104" s="163">
        <x:v>1738618</x:v>
      </x:c>
      <x:c r="L104" s="163">
        <x:f>+K104*0.1-1</x:f>
        <x:v>173860.80000000002</x:v>
      </x:c>
      <x:c r="M104" s="164">
        <x:f t="shared" si="15"/>
        <x:v>1912478.8</x:v>
      </x:c>
      <x:c r="N104" s="6"/>
      <x:c r="V104" s="1"/>
    </x:row>
    <x:row r="105" spans="1:22" s="2" customFormat="1" ht="20.100000000000001" customHeight="1">
      <x:c r="A105" s="299"/>
      <x:c r="B105" s="3" t="s">
        <x:v>1348</x:v>
      </x:c>
      <x:c r="C105" s="3"/>
      <x:c r="D105" s="44"/>
      <x:c r="E105" s="4"/>
      <x:c r="F105" s="5">
        <x:f>+D105+E105</x:f>
        <x:v>0</x:v>
      </x:c>
      <x:c r="G105" s="6"/>
      <x:c r="H105" s="299"/>
      <x:c r="I105" s="3" t="s">
        <x:v>1315</x:v>
      </x:c>
      <x:c r="J105" s="3" t="s">
        <x:v>1711</x:v>
      </x:c>
      <x:c r="K105" s="163">
        <x:v>641486</x:v>
      </x:c>
      <x:c r="L105" s="4">
        <x:f>+K105*0.1-3</x:f>
        <x:v>64145.600000000006</x:v>
      </x:c>
      <x:c r="M105" s="5">
        <x:f t="shared" si="15"/>
        <x:v>705631.59999999998</x:v>
      </x:c>
      <x:c r="N105" s="6"/>
      <x:c r="V105" s="1"/>
    </x:row>
    <x:row r="106" spans="1:22" s="2" customFormat="1" ht="20.100000000000001" customHeight="1">
      <x:c r="A106" s="299"/>
      <x:c r="B106" s="3" t="s">
        <x:v>798</x:v>
      </x:c>
      <x:c r="C106" s="3"/>
      <x:c r="D106" s="44"/>
      <x:c r="E106" s="4"/>
      <x:c r="F106" s="5">
        <x:f t="shared" ref="F106:F119" si="18">+D106+E106</x:f>
        <x:v>0</x:v>
      </x:c>
      <x:c r="G106" s="6"/>
      <x:c r="H106" s="299"/>
      <x:c r="I106" s="3" t="s">
        <x:v>846</x:v>
      </x:c>
      <x:c r="J106" s="3" t="s">
        <x:v>1281</x:v>
      </x:c>
      <x:c r="K106" s="163">
        <x:v>358320</x:v>
      </x:c>
      <x:c r="L106" s="4">
        <x:f t="shared" ref="L106:L112" si="19">+K106*0.1</x:f>
        <x:v>35832</x:v>
      </x:c>
      <x:c r="M106" s="5">
        <x:f t="shared" si="15"/>
        <x:v>394152</x:v>
      </x:c>
      <x:c r="N106" s="6"/>
      <x:c r="V106" s="1"/>
    </x:row>
    <x:row r="107" spans="1:22" s="2" customFormat="1" ht="20.100000000000001" customHeight="1">
      <x:c r="A107" s="299"/>
      <x:c r="B107" s="3" t="s">
        <x:v>228</x:v>
      </x:c>
      <x:c r="C107" s="3"/>
      <x:c r="D107" s="44"/>
      <x:c r="E107" s="4"/>
      <x:c r="F107" s="5">
        <x:f t="shared" si="18"/>
        <x:v>0</x:v>
      </x:c>
      <x:c r="G107" s="6"/>
      <x:c r="H107" s="299"/>
      <x:c r="I107" s="3" t="s">
        <x:v>762</x:v>
      </x:c>
      <x:c r="J107" s="3" t="s">
        <x:v>244</x:v>
      </x:c>
      <x:c r="K107" s="156">
        <x:v>3670000</x:v>
      </x:c>
      <x:c r="L107" s="156">
        <x:f t="shared" si="19"/>
        <x:v>367000</x:v>
      </x:c>
      <x:c r="M107" s="157">
        <x:f t="shared" si="15"/>
        <x:v>4037000</x:v>
      </x:c>
      <x:c r="N107" s="37" t="s">
        <x:v>1611</x:v>
      </x:c>
      <x:c r="V107" s="1"/>
    </x:row>
    <x:row r="108" spans="1:22" s="2" customFormat="1" ht="20.100000000000001" customHeight="1">
      <x:c r="A108" s="299"/>
      <x:c r="B108" s="3" t="s">
        <x:v>1567</x:v>
      </x:c>
      <x:c r="C108" s="3"/>
      <x:c r="D108" s="44"/>
      <x:c r="E108" s="4"/>
      <x:c r="F108" s="5">
        <x:f t="shared" si="18"/>
        <x:v>0</x:v>
      </x:c>
      <x:c r="G108" s="6"/>
      <x:c r="H108" s="299"/>
      <x:c r="I108" s="3" t="s">
        <x:v>1607</x:v>
      </x:c>
      <x:c r="J108" s="3" t="s">
        <x:v>1609</x:v>
      </x:c>
      <x:c r="K108" s="156">
        <x:v>23000000</x:v>
      </x:c>
      <x:c r="L108" s="156">
        <x:f t="shared" si="19"/>
        <x:v>2300000</x:v>
      </x:c>
      <x:c r="M108" s="157">
        <x:f t="shared" si="15"/>
        <x:v>25300000</x:v>
      </x:c>
      <x:c r="N108" s="37" t="s">
        <x:v>1611</x:v>
      </x:c>
      <x:c r="V108" s="1"/>
    </x:row>
    <x:row r="109" spans="1:22" s="2" customFormat="1" ht="20.100000000000001" customHeight="1">
      <x:c r="A109" s="299"/>
      <x:c r="B109" s="3" t="s">
        <x:v>1477</x:v>
      </x:c>
      <x:c r="C109" s="3" t="s">
        <x:v>291</x:v>
      </x:c>
      <x:c r="D109" s="44">
        <x:v>470000</x:v>
      </x:c>
      <x:c r="E109" s="4">
        <x:f>+D109*0.1</x:f>
        <x:v>47000</x:v>
      </x:c>
      <x:c r="F109" s="5">
        <x:f t="shared" si="18"/>
        <x:v>517000</x:v>
      </x:c>
      <x:c r="G109" s="6"/>
      <x:c r="H109" s="299"/>
      <x:c r="I109" s="3" t="s">
        <x:v>1016</x:v>
      </x:c>
      <x:c r="J109" s="3" t="s">
        <x:v>1231</x:v>
      </x:c>
      <x:c r="K109" s="163">
        <x:v>3500000</x:v>
      </x:c>
      <x:c r="L109" s="4">
        <x:f t="shared" si="19"/>
        <x:v>350000</x:v>
      </x:c>
      <x:c r="M109" s="5">
        <x:f t="shared" si="15"/>
        <x:v>3850000</x:v>
      </x:c>
      <x:c r="N109" s="6"/>
      <x:c r="V109" s="1"/>
    </x:row>
    <x:row r="110" spans="1:22" s="2" customFormat="1" ht="20.100000000000001" customHeight="1">
      <x:c r="A110" s="299"/>
      <x:c r="B110" s="3" t="s">
        <x:v>483</x:v>
      </x:c>
      <x:c r="C110" s="3" t="s">
        <x:v>565</x:v>
      </x:c>
      <x:c r="D110" s="44">
        <x:v>859750</x:v>
      </x:c>
      <x:c r="E110" s="4">
        <x:f>+D110*0.1</x:f>
        <x:v>85975</x:v>
      </x:c>
      <x:c r="F110" s="5">
        <x:f t="shared" si="18"/>
        <x:v>945725</x:v>
      </x:c>
      <x:c r="G110" s="6"/>
      <x:c r="H110" s="299"/>
      <x:c r="I110" s="3" t="s">
        <x:v>1477</x:v>
      </x:c>
      <x:c r="J110" s="3" t="s">
        <x:v>1456</x:v>
      </x:c>
      <x:c r="K110" s="156">
        <x:v>26500000</x:v>
      </x:c>
      <x:c r="L110" s="156">
        <x:f t="shared" si="19"/>
        <x:v>2650000</x:v>
      </x:c>
      <x:c r="M110" s="157">
        <x:f t="shared" si="15"/>
        <x:v>29150000</x:v>
      </x:c>
      <x:c r="N110" s="37" t="s">
        <x:v>1611</x:v>
      </x:c>
      <x:c r="V110" s="1"/>
    </x:row>
    <x:row r="111" spans="1:22" s="2" customFormat="1" ht="20.100000000000001" customHeight="1">
      <x:c r="A111" s="299"/>
      <x:c r="B111" s="3" t="s">
        <x:v>1319</x:v>
      </x:c>
      <x:c r="C111" s="3"/>
      <x:c r="D111" s="44"/>
      <x:c r="E111" s="4"/>
      <x:c r="F111" s="5">
        <x:f t="shared" si="18"/>
        <x:v>0</x:v>
      </x:c>
      <x:c r="G111" s="6"/>
      <x:c r="H111" s="299"/>
      <x:c r="I111" s="3" t="s">
        <x:v>1564</x:v>
      </x:c>
      <x:c r="J111" s="3" t="s">
        <x:v>1552</x:v>
      </x:c>
      <x:c r="K111" s="163">
        <x:v>50540</x:v>
      </x:c>
      <x:c r="L111" s="4">
        <x:f t="shared" si="19"/>
        <x:v>5054</x:v>
      </x:c>
      <x:c r="M111" s="5">
        <x:f t="shared" si="15"/>
        <x:v>55594</x:v>
      </x:c>
      <x:c r="N111" s="6"/>
      <x:c r="V111" s="1"/>
    </x:row>
    <x:row r="112" spans="1:22" s="2" customFormat="1" ht="20.100000000000001" customHeight="1">
      <x:c r="A112" s="299"/>
      <x:c r="B112" s="3" t="s">
        <x:v>854</x:v>
      </x:c>
      <x:c r="C112" s="3" t="s">
        <x:v>568</x:v>
      </x:c>
      <x:c r="D112" s="44">
        <x:v>17380</x:v>
      </x:c>
      <x:c r="E112" s="4">
        <x:f>+D112*0.1</x:f>
        <x:v>1738</x:v>
      </x:c>
      <x:c r="F112" s="5">
        <x:f t="shared" si="18"/>
        <x:v>19118</x:v>
      </x:c>
      <x:c r="G112" s="6"/>
      <x:c r="H112" s="299"/>
      <x:c r="I112" s="3" t="s">
        <x:v>228</x:v>
      </x:c>
      <x:c r="J112" s="3" t="s">
        <x:v>1112</x:v>
      </x:c>
      <x:c r="K112" s="156">
        <x:v>29021860</x:v>
      </x:c>
      <x:c r="L112" s="156">
        <x:f t="shared" si="19"/>
        <x:v>2902186</x:v>
      </x:c>
      <x:c r="M112" s="157">
        <x:f t="shared" si="15"/>
        <x:v>31924046</x:v>
      </x:c>
      <x:c r="N112" s="37" t="s">
        <x:v>1611</x:v>
      </x:c>
      <x:c r="V112" s="1"/>
    </x:row>
    <x:row r="113" spans="1:22" s="2" customFormat="1" ht="20.100000000000001" customHeight="1">
      <x:c r="A113" s="299"/>
      <x:c r="B113" s="3" t="s">
        <x:v>774</x:v>
      </x:c>
      <x:c r="C113" s="3" t="s">
        <x:v>1233</x:v>
      </x:c>
      <x:c r="D113" s="44">
        <x:v>2100000</x:v>
      </x:c>
      <x:c r="E113" s="4">
        <x:f>+D113*0.1</x:f>
        <x:v>210000</x:v>
      </x:c>
      <x:c r="F113" s="5">
        <x:f t="shared" si="18"/>
        <x:v>2310000</x:v>
      </x:c>
      <x:c r="G113" s="6"/>
      <x:c r="H113" s="299"/>
      <x:c r="I113" s="3" t="s">
        <x:v>854</x:v>
      </x:c>
      <x:c r="J113" s="3" t="s">
        <x:v>1704</x:v>
      </x:c>
      <x:c r="K113" s="163">
        <x:v>7142980</x:v>
      </x:c>
      <x:c r="L113" s="4">
        <x:f t="shared" ref="L113:L119" si="20">+K113*0.1</x:f>
        <x:v>714298</x:v>
      </x:c>
      <x:c r="M113" s="5">
        <x:f t="shared" si="15"/>
        <x:v>7857278</x:v>
      </x:c>
      <x:c r="N113" s="6"/>
      <x:c r="V113" s="1"/>
    </x:row>
    <x:row r="114" spans="1:22" s="2" customFormat="1" ht="20.100000000000001" customHeight="1">
      <x:c r="A114" s="299"/>
      <x:c r="B114" s="3" t="s">
        <x:v>1033</x:v>
      </x:c>
      <x:c r="C114" s="3" t="s">
        <x:v>1628</x:v>
      </x:c>
      <x:c r="D114" s="44">
        <x:v>5604000</x:v>
      </x:c>
      <x:c r="E114" s="4">
        <x:f>+D114*0.1</x:f>
        <x:v>560400</x:v>
      </x:c>
      <x:c r="F114" s="5">
        <x:f t="shared" si="18"/>
        <x:v>6164400</x:v>
      </x:c>
      <x:c r="G114" s="6"/>
      <x:c r="H114" s="299"/>
      <x:c r="I114" s="3" t="s">
        <x:v>1102</x:v>
      </x:c>
      <x:c r="J114" s="3" t="s">
        <x:v>1215</x:v>
      </x:c>
      <x:c r="K114" s="163">
        <x:v>1600000</x:v>
      </x:c>
      <x:c r="L114" s="4">
        <x:f t="shared" si="20"/>
        <x:v>160000</x:v>
      </x:c>
      <x:c r="M114" s="5">
        <x:f t="shared" si="15"/>
        <x:v>1760000</x:v>
      </x:c>
      <x:c r="N114" s="6"/>
      <x:c r="V114" s="1"/>
    </x:row>
    <x:row r="115" spans="1:22" s="2" customFormat="1" ht="20.100000000000001" customHeight="1">
      <x:c r="A115" s="299"/>
      <x:c r="B115" s="3"/>
      <x:c r="C115" s="3"/>
      <x:c r="D115" s="44"/>
      <x:c r="E115" s="4"/>
      <x:c r="F115" s="5"/>
      <x:c r="G115" s="6"/>
      <x:c r="H115" s="299"/>
      <x:c r="I115" s="3" t="s">
        <x:v>1378</x:v>
      </x:c>
      <x:c r="J115" s="3" t="s">
        <x:v>1447</x:v>
      </x:c>
      <x:c r="K115" s="163">
        <x:v>724540</x:v>
      </x:c>
      <x:c r="L115" s="4">
        <x:f t="shared" si="20"/>
        <x:v>72454</x:v>
      </x:c>
      <x:c r="M115" s="5">
        <x:f t="shared" si="15"/>
        <x:v>796994</x:v>
      </x:c>
      <x:c r="N115" s="6"/>
      <x:c r="V115" s="1"/>
    </x:row>
    <x:row r="116" spans="1:22" s="2" customFormat="1" ht="20.100000000000001" customHeight="1">
      <x:c r="A116" s="299"/>
      <x:c r="B116" s="3"/>
      <x:c r="C116" s="3"/>
      <x:c r="D116" s="44"/>
      <x:c r="E116" s="4"/>
      <x:c r="F116" s="5">
        <x:f t="shared" si="18"/>
        <x:v>0</x:v>
      </x:c>
      <x:c r="G116" s="6"/>
      <x:c r="H116" s="299"/>
      <x:c r="I116" s="3" t="s">
        <x:v>774</x:v>
      </x:c>
      <x:c r="J116" s="3" t="s">
        <x:v>1233</x:v>
      </x:c>
      <x:c r="K116" s="163">
        <x:v>850000</x:v>
      </x:c>
      <x:c r="L116" s="4">
        <x:f t="shared" si="20"/>
        <x:v>85000</x:v>
      </x:c>
      <x:c r="M116" s="5">
        <x:f t="shared" si="15"/>
        <x:v>935000</x:v>
      </x:c>
      <x:c r="N116" s="6"/>
      <x:c r="V116" s="1"/>
    </x:row>
    <x:row r="117" spans="1:22" s="2" customFormat="1" ht="20.100000000000001" customHeight="1">
      <x:c r="A117" s="299"/>
      <x:c r="B117" s="3"/>
      <x:c r="C117" s="3"/>
      <x:c r="D117" s="44"/>
      <x:c r="E117" s="4"/>
      <x:c r="F117" s="5">
        <x:f t="shared" si="18"/>
        <x:v>0</x:v>
      </x:c>
      <x:c r="G117" s="6" t="s">
        <x:v>1589</x:v>
      </x:c>
      <x:c r="H117" s="299"/>
      <x:c r="I117" s="3" t="s">
        <x:v>1070</x:v>
      </x:c>
      <x:c r="J117" s="3" t="s">
        <x:v>1605</x:v>
      </x:c>
      <x:c r="K117" s="163">
        <x:v>710000</x:v>
      </x:c>
      <x:c r="L117" s="4">
        <x:f t="shared" si="20"/>
        <x:v>71000</x:v>
      </x:c>
      <x:c r="M117" s="5">
        <x:f t="shared" si="15"/>
        <x:v>781000</x:v>
      </x:c>
      <x:c r="N117" s="6"/>
      <x:c r="V117" s="1"/>
    </x:row>
    <x:row r="118" spans="1:22" s="2" customFormat="1" ht="20.100000000000001" customHeight="1">
      <x:c r="A118" s="299"/>
      <x:c r="B118" s="3"/>
      <x:c r="C118" s="3"/>
      <x:c r="D118" s="44"/>
      <x:c r="E118" s="4"/>
      <x:c r="F118" s="5"/>
      <x:c r="G118" s="6"/>
      <x:c r="H118" s="299"/>
      <x:c r="I118" s="162" t="s">
        <x:v>1033</x:v>
      </x:c>
      <x:c r="J118" s="162" t="s">
        <x:v>1628</x:v>
      </x:c>
      <x:c r="K118" s="156">
        <x:v>7131000</x:v>
      </x:c>
      <x:c r="L118" s="156">
        <x:f t="shared" si="20"/>
        <x:v>713100</x:v>
      </x:c>
      <x:c r="M118" s="157">
        <x:f t="shared" si="15"/>
        <x:v>7844100</x:v>
      </x:c>
      <x:c r="N118" s="37" t="s">
        <x:v>1611</x:v>
      </x:c>
      <x:c r="V118" s="1"/>
    </x:row>
    <x:row r="119" spans="1:22" s="2" customFormat="1" ht="20.100000000000001" customHeight="1">
      <x:c r="A119" s="299"/>
      <x:c r="B119" s="3"/>
      <x:c r="C119" s="3"/>
      <x:c r="D119" s="44"/>
      <x:c r="E119" s="4"/>
      <x:c r="F119" s="5">
        <x:f t="shared" si="18"/>
        <x:v>0</x:v>
      </x:c>
      <x:c r="G119" s="6" t="s">
        <x:v>1566</x:v>
      </x:c>
      <x:c r="H119" s="300"/>
      <x:c r="I119" s="3" t="s">
        <x:v>1601</x:v>
      </x:c>
      <x:c r="J119" s="3" t="s">
        <x:v>1602</x:v>
      </x:c>
      <x:c r="K119" s="163">
        <x:v>500000</x:v>
      </x:c>
      <x:c r="L119" s="4">
        <x:f t="shared" si="20"/>
        <x:v>50000</x:v>
      </x:c>
      <x:c r="M119" s="5">
        <x:f t="shared" si="15"/>
        <x:v>550000</x:v>
      </x:c>
      <x:c r="N119" s="6"/>
      <x:c r="V119" s="1"/>
    </x:row>
    <x:row r="120" spans="1:22" s="2" customFormat="1" ht="20.100000000000001" customHeight="1">
      <x:c r="A120" s="7"/>
      <x:c r="B120" s="8"/>
      <x:c r="C120" s="8"/>
      <x:c r="D120" s="9">
        <x:f>SUM(D98:D119)</x:f>
        <x:v>19868260</x:v>
      </x:c>
      <x:c r="E120" s="9">
        <x:f>SUM(E98:E119)</x:f>
        <x:v>1986826</x:v>
      </x:c>
      <x:c r="F120" s="10">
        <x:f>SUM(F98:F119)</x:f>
        <x:v>21855086</x:v>
      </x:c>
      <x:c r="G120" s="11"/>
      <x:c r="H120" s="7" t="s">
        <x:v>155</x:v>
      </x:c>
      <x:c r="I120" s="8"/>
      <x:c r="J120" s="8"/>
      <x:c r="K120" s="80">
        <x:f>SUM(K98:K119)</x:f>
        <x:v>192136644</x:v>
      </x:c>
      <x:c r="L120" s="9">
        <x:f>SUM(L98:L119)</x:f>
        <x:v>19213660.399999999</x:v>
      </x:c>
      <x:c r="M120" s="10">
        <x:f>SUM(M98:M119)</x:f>
        <x:v>211350304.39999998</x:v>
      </x:c>
      <x:c r="N120" s="11"/>
      <x:c r="V120" s="1"/>
    </x:row>
    <x:row r="121" spans="1:22" s="2" customFormat="1" ht="20.100000000000001" customHeight="1">
      <x:c r="A121" s="301" t="s">
        <x:v>153</x:v>
      </x:c>
      <x:c r="B121" s="3" t="s">
        <x:v>1677</x:v>
      </x:c>
      <x:c r="C121" s="3" t="s">
        <x:v>1096</x:v>
      </x:c>
      <x:c r="D121" s="4">
        <x:v>11696000</x:v>
      </x:c>
      <x:c r="E121" s="4"/>
      <x:c r="F121" s="5">
        <x:f>+D121+E121</x:f>
        <x:v>11696000</x:v>
      </x:c>
      <x:c r="G121" s="6"/>
      <x:c r="H121" s="301" t="s">
        <x:v>153</x:v>
      </x:c>
      <x:c r="I121" s="3" t="s">
        <x:v>1677</x:v>
      </x:c>
      <x:c r="J121" s="3" t="s">
        <x:v>1383</x:v>
      </x:c>
      <x:c r="K121" s="163">
        <x:v>25320000</x:v>
      </x:c>
      <x:c r="L121" s="44"/>
      <x:c r="M121" s="45">
        <x:f>+K121+L121</x:f>
        <x:v>25320000</x:v>
      </x:c>
      <x:c r="N121" s="37"/>
      <x:c r="V121" s="1"/>
    </x:row>
    <x:row r="122" spans="1:22" s="2" customFormat="1" ht="20.100000000000001" customHeight="1">
      <x:c r="A122" s="299"/>
      <x:c r="B122" s="3" t="s">
        <x:v>1241</x:v>
      </x:c>
      <x:c r="C122" s="3" t="s">
        <x:v>523</x:v>
      </x:c>
      <x:c r="D122" s="4"/>
      <x:c r="E122" s="4"/>
      <x:c r="F122" s="5">
        <x:f>+D122+E122</x:f>
        <x:v>0</x:v>
      </x:c>
      <x:c r="G122" s="6"/>
      <x:c r="H122" s="299"/>
      <x:c r="I122" s="3" t="s">
        <x:v>1545</x:v>
      </x:c>
      <x:c r="J122" s="3"/>
      <x:c r="K122" s="163"/>
      <x:c r="L122" s="44"/>
      <x:c r="M122" s="45">
        <x:f>+K122+L122</x:f>
        <x:v>0</x:v>
      </x:c>
      <x:c r="N122" s="37" t="s">
        <x:v>532</x:v>
      </x:c>
      <x:c r="V122" s="1"/>
    </x:row>
    <x:row r="123" spans="1:22" s="2" customFormat="1" ht="20.100000000000001" customHeight="1">
      <x:c r="A123" s="299"/>
      <x:c r="B123" s="3"/>
      <x:c r="C123" s="3"/>
      <x:c r="D123" s="4"/>
      <x:c r="E123" s="4"/>
      <x:c r="F123" s="5">
        <x:f>+D123+E123</x:f>
        <x:v>0</x:v>
      </x:c>
      <x:c r="G123" s="6"/>
      <x:c r="H123" s="299"/>
      <x:c r="I123" s="3" t="s">
        <x:v>1241</x:v>
      </x:c>
      <x:c r="J123" s="3" t="s">
        <x:v>1559</x:v>
      </x:c>
      <x:c r="K123" s="163">
        <x:v>7000000</x:v>
      </x:c>
      <x:c r="L123" s="4"/>
      <x:c r="M123" s="5">
        <x:f>+K123+L123</x:f>
        <x:v>7000000</x:v>
      </x:c>
      <x:c r="N123" s="6"/>
      <x:c r="V123" s="1"/>
    </x:row>
    <x:row r="124" spans="1:22" s="2" customFormat="1" ht="20.100000000000001" customHeight="1">
      <x:c r="A124" s="300"/>
      <x:c r="B124" s="3"/>
      <x:c r="C124" s="3"/>
      <x:c r="D124" s="4"/>
      <x:c r="E124" s="4">
        <x:f>+D124*0.1</x:f>
        <x:v>0</x:v>
      </x:c>
      <x:c r="F124" s="5">
        <x:f>+D124+E124</x:f>
        <x:v>0</x:v>
      </x:c>
      <x:c r="G124" s="6"/>
      <x:c r="H124" s="300"/>
      <x:c r="I124" s="3"/>
      <x:c r="J124" s="3"/>
      <x:c r="K124" s="163"/>
      <x:c r="L124" s="4"/>
      <x:c r="M124" s="5">
        <x:f>+K124+L124</x:f>
        <x:v>0</x:v>
      </x:c>
      <x:c r="N124" s="6"/>
      <x:c r="V124" s="1"/>
    </x:row>
    <x:row r="125" spans="1:22" s="2" customFormat="1" ht="20.100000000000001" customHeight="1">
      <x:c r="A125" s="7"/>
      <x:c r="B125" s="8"/>
      <x:c r="C125" s="8"/>
      <x:c r="D125" s="9">
        <x:f>SUM(D121:D124)</x:f>
        <x:v>11696000</x:v>
      </x:c>
      <x:c r="E125" s="9">
        <x:f>SUM(E121:E124)</x:f>
        <x:v>0</x:v>
      </x:c>
      <x:c r="F125" s="10">
        <x:f>SUM(F121:F124)</x:f>
        <x:v>11696000</x:v>
      </x:c>
      <x:c r="G125" s="11"/>
      <x:c r="H125" s="7" t="s">
        <x:v>155</x:v>
      </x:c>
      <x:c r="I125" s="8"/>
      <x:c r="J125" s="8"/>
      <x:c r="K125" s="80">
        <x:f>SUM(K121:K124)</x:f>
        <x:v>32320000</x:v>
      </x:c>
      <x:c r="L125" s="9">
        <x:f>SUM(L121:L124)</x:f>
        <x:v>0</x:v>
      </x:c>
      <x:c r="M125" s="10">
        <x:f>SUM(M121:M124)</x:f>
        <x:v>32320000</x:v>
      </x:c>
      <x:c r="N125" s="11"/>
      <x:c r="V125" s="1"/>
    </x:row>
    <x:row r="126" spans="1:22" s="2" customFormat="1" ht="20.100000000000001" customHeight="1">
      <x:c r="A126" s="301" t="s">
        <x:v>187</x:v>
      </x:c>
      <x:c r="B126" s="3" t="s">
        <x:v>1124</x:v>
      </x:c>
      <x:c r="C126" s="3" t="s">
        <x:v>1006</x:v>
      </x:c>
      <x:c r="D126" s="44">
        <x:v>810000</x:v>
      </x:c>
      <x:c r="E126" s="4">
        <x:f>D126*0.1</x:f>
        <x:v>81000</x:v>
      </x:c>
      <x:c r="F126" s="5">
        <x:f>+D126+E126</x:f>
        <x:v>891000</x:v>
      </x:c>
      <x:c r="G126" s="6"/>
      <x:c r="H126" s="301" t="s">
        <x:v>187</x:v>
      </x:c>
      <x:c r="I126" s="3" t="s">
        <x:v>1568</x:v>
      </x:c>
      <x:c r="J126" s="3" t="s">
        <x:v>946</x:v>
      </x:c>
      <x:c r="K126" s="163"/>
      <x:c r="L126" s="4"/>
      <x:c r="M126" s="5">
        <x:f>+K126+L126</x:f>
        <x:v>0</x:v>
      </x:c>
      <x:c r="N126" s="6"/>
      <x:c r="V126" s="1"/>
    </x:row>
    <x:row r="127" spans="1:22" s="2" customFormat="1" ht="20.100000000000001" customHeight="1">
      <x:c r="A127" s="299"/>
      <x:c r="B127" s="3" t="s">
        <x:v>460</x:v>
      </x:c>
      <x:c r="C127" s="3" t="s">
        <x:v>1478</x:v>
      </x:c>
      <x:c r="D127" s="4"/>
      <x:c r="E127" s="4"/>
      <x:c r="F127" s="5">
        <x:f>+D127+E127</x:f>
        <x:v>0</x:v>
      </x:c>
      <x:c r="G127" s="6"/>
      <x:c r="H127" s="299"/>
      <x:c r="I127" s="3"/>
      <x:c r="J127" s="3"/>
      <x:c r="K127" s="163"/>
      <x:c r="L127" s="4"/>
      <x:c r="M127" s="5">
        <x:f>+K127+L127</x:f>
        <x:v>0</x:v>
      </x:c>
      <x:c r="N127" s="6"/>
      <x:c r="V127" s="1"/>
    </x:row>
    <x:row r="128" spans="1:22" s="2" customFormat="1" ht="20.100000000000001" customHeight="1">
      <x:c r="A128" s="299"/>
      <x:c r="B128" s="3" t="s">
        <x:v>461</x:v>
      </x:c>
      <x:c r="C128" s="3" t="s">
        <x:v>1478</x:v>
      </x:c>
      <x:c r="D128" s="4"/>
      <x:c r="E128" s="4"/>
      <x:c r="F128" s="5">
        <x:f>+D128+E128</x:f>
        <x:v>0</x:v>
      </x:c>
      <x:c r="G128" s="6"/>
      <x:c r="H128" s="299"/>
      <x:c r="I128" s="3"/>
      <x:c r="J128" s="3"/>
      <x:c r="K128" s="163"/>
      <x:c r="L128" s="4"/>
      <x:c r="M128" s="5">
        <x:f>+K128+L128</x:f>
        <x:v>0</x:v>
      </x:c>
      <x:c r="N128" s="6"/>
      <x:c r="V128" s="1"/>
    </x:row>
    <x:row r="129" spans="1:22" s="2" customFormat="1" ht="20.100000000000001" customHeight="1">
      <x:c r="A129" s="7"/>
      <x:c r="B129" s="8"/>
      <x:c r="C129" s="8"/>
      <x:c r="D129" s="9">
        <x:f>SUM(D126:D128)</x:f>
        <x:v>810000</x:v>
      </x:c>
      <x:c r="E129" s="9">
        <x:f>SUM(E126:E128)</x:f>
        <x:v>81000</x:v>
      </x:c>
      <x:c r="F129" s="10">
        <x:f>SUM(F126:F128)</x:f>
        <x:v>891000</x:v>
      </x:c>
      <x:c r="G129" s="11"/>
      <x:c r="H129" s="7" t="s">
        <x:v>155</x:v>
      </x:c>
      <x:c r="I129" s="8"/>
      <x:c r="J129" s="8"/>
      <x:c r="K129" s="80">
        <x:f>SUM(K126:K128)</x:f>
        <x:v>0</x:v>
      </x:c>
      <x:c r="L129" s="9">
        <x:f>SUM(L126:L128)</x:f>
        <x:v>0</x:v>
      </x:c>
      <x:c r="M129" s="10">
        <x:f>SUM(M126:M128)</x:f>
        <x:v>0</x:v>
      </x:c>
      <x:c r="N129" s="11"/>
      <x:c r="V129" s="1"/>
    </x:row>
    <x:row r="130" spans="1:22" s="2" customFormat="1" ht="20.100000000000001" customHeight="1">
      <x:c r="A130" s="301" t="s">
        <x:v>149</x:v>
      </x:c>
      <x:c r="B130" s="3" t="s">
        <x:v>177</x:v>
      </x:c>
      <x:c r="C130" s="3" t="s">
        <x:v>149</x:v>
      </x:c>
      <x:c r="D130" s="4">
        <x:v>378000</x:v>
      </x:c>
      <x:c r="E130" s="4"/>
      <x:c r="F130" s="5">
        <x:f t="shared" ref="F130:F136" si="21">+D130+E130</x:f>
        <x:v>378000</x:v>
      </x:c>
      <x:c r="G130" s="6"/>
      <x:c r="H130" s="301" t="s">
        <x:v>149</x:v>
      </x:c>
      <x:c r="I130" s="3" t="s">
        <x:v>177</x:v>
      </x:c>
      <x:c r="J130" s="3" t="s">
        <x:v>149</x:v>
      </x:c>
      <x:c r="K130" s="163">
        <x:v>1002514</x:v>
      </x:c>
      <x:c r="L130" s="4"/>
      <x:c r="M130" s="5">
        <x:f t="shared" ref="M130:M137" si="22">+K130+L130</x:f>
        <x:v>1002514</x:v>
      </x:c>
      <x:c r="N130" s="6"/>
      <x:c r="V130" s="1"/>
    </x:row>
    <x:row r="131" spans="1:22" s="2" customFormat="1" ht="20.100000000000001" customHeight="1">
      <x:c r="A131" s="299"/>
      <x:c r="B131" s="3" t="s">
        <x:v>601</x:v>
      </x:c>
      <x:c r="C131" s="3" t="s">
        <x:v>962</x:v>
      </x:c>
      <x:c r="D131" s="44">
        <x:v>234000</x:v>
      </x:c>
      <x:c r="E131" s="4">
        <x:f>+D131*0.1</x:f>
        <x:v>23400</x:v>
      </x:c>
      <x:c r="F131" s="5">
        <x:f t="shared" si="21"/>
        <x:v>257400</x:v>
      </x:c>
      <x:c r="G131" s="6"/>
      <x:c r="H131" s="299"/>
      <x:c r="I131" s="3" t="s">
        <x:v>1359</x:v>
      </x:c>
      <x:c r="J131" s="3" t="s">
        <x:v>1356</x:v>
      </x:c>
      <x:c r="K131" s="163">
        <x:v>960000</x:v>
      </x:c>
      <x:c r="L131" s="4">
        <x:f>+K131*0.1</x:f>
        <x:v>96000</x:v>
      </x:c>
      <x:c r="M131" s="5">
        <x:f t="shared" si="22"/>
        <x:v>1056000</x:v>
      </x:c>
      <x:c r="N131" s="6"/>
      <x:c r="V131" s="1"/>
    </x:row>
    <x:row r="132" spans="1:22" s="2" customFormat="1" ht="20.100000000000001" customHeight="1">
      <x:c r="A132" s="299"/>
      <x:c r="B132" s="3" t="s">
        <x:v>926</x:v>
      </x:c>
      <x:c r="C132" s="3" t="s">
        <x:v>409</x:v>
      </x:c>
      <x:c r="D132" s="44">
        <x:v>367870</x:v>
      </x:c>
      <x:c r="E132" s="4"/>
      <x:c r="F132" s="5">
        <x:f t="shared" si="21"/>
        <x:v>367870</x:v>
      </x:c>
      <x:c r="G132" s="6"/>
      <x:c r="H132" s="299"/>
      <x:c r="I132" s="3" t="s">
        <x:v>1542</x:v>
      </x:c>
      <x:c r="J132" s="3" t="s">
        <x:v>817</x:v>
      </x:c>
      <x:c r="K132" s="163">
        <x:v>400000</x:v>
      </x:c>
      <x:c r="L132" s="4">
        <x:f>+K132*0.1</x:f>
        <x:v>40000</x:v>
      </x:c>
      <x:c r="M132" s="5">
        <x:f t="shared" si="22"/>
        <x:v>440000</x:v>
      </x:c>
      <x:c r="N132" s="6"/>
      <x:c r="V132" s="1"/>
    </x:row>
    <x:row r="133" spans="1:22" s="2" customFormat="1" ht="20.100000000000001" customHeight="1">
      <x:c r="A133" s="299"/>
      <x:c r="B133" s="3" t="s">
        <x:v>947</x:v>
      </x:c>
      <x:c r="C133" s="3" t="s">
        <x:v>914</x:v>
      </x:c>
      <x:c r="D133" s="44">
        <x:v>50000</x:v>
      </x:c>
      <x:c r="E133" s="4">
        <x:f>+D133*0.1</x:f>
        <x:v>5000</x:v>
      </x:c>
      <x:c r="F133" s="5">
        <x:f t="shared" si="21"/>
        <x:v>55000</x:v>
      </x:c>
      <x:c r="G133" s="6"/>
      <x:c r="H133" s="299"/>
      <x:c r="I133" s="3" t="s">
        <x:v>1558</x:v>
      </x:c>
      <x:c r="J133" s="3" t="s">
        <x:v>817</x:v>
      </x:c>
      <x:c r="K133" s="163">
        <x:v>270000</x:v>
      </x:c>
      <x:c r="L133" s="4">
        <x:f>+K133*0.1</x:f>
        <x:v>27000</x:v>
      </x:c>
      <x:c r="M133" s="5">
        <x:f t="shared" si="22"/>
        <x:v>297000</x:v>
      </x:c>
      <x:c r="N133" s="6"/>
      <x:c r="V133" s="1"/>
    </x:row>
    <x:row r="134" spans="1:22" s="2" customFormat="1" ht="20.100000000000001" customHeight="1">
      <x:c r="A134" s="299"/>
      <x:c r="B134" s="3" t="s">
        <x:v>1327</x:v>
      </x:c>
      <x:c r="C134" s="3" t="s">
        <x:v>167</x:v>
      </x:c>
      <x:c r="D134" s="44"/>
      <x:c r="E134" s="4"/>
      <x:c r="F134" s="5">
        <x:f t="shared" si="21"/>
        <x:v>0</x:v>
      </x:c>
      <x:c r="G134" s="6"/>
      <x:c r="H134" s="299"/>
      <x:c r="I134" s="3"/>
      <x:c r="J134" s="3"/>
      <x:c r="K134" s="163"/>
      <x:c r="L134" s="4"/>
      <x:c r="M134" s="5">
        <x:f t="shared" si="22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247</x:v>
      </x:c>
      <x:c r="C135" s="3" t="s">
        <x:v>231</x:v>
      </x:c>
      <x:c r="D135" s="44">
        <x:v>20000</x:v>
      </x:c>
      <x:c r="E135" s="4">
        <x:f>+D135*0.1</x:f>
        <x:v>2000</x:v>
      </x:c>
      <x:c r="F135" s="5">
        <x:f t="shared" si="21"/>
        <x:v>22000</x:v>
      </x:c>
      <x:c r="G135" s="6"/>
      <x:c r="H135" s="299"/>
      <x:c r="I135" s="3"/>
      <x:c r="J135" s="3"/>
      <x:c r="K135" s="4"/>
      <x:c r="L135" s="4"/>
      <x:c r="M135" s="5">
        <x:f t="shared" si="22"/>
        <x:v>0</x:v>
      </x:c>
      <x:c r="N135" s="6"/>
      <x:c r="V135" s="1"/>
    </x:row>
    <x:row r="136" spans="1:22" s="2" customFormat="1" ht="20.100000000000001" customHeight="1">
      <x:c r="A136" s="299"/>
      <x:c r="B136" s="3" t="s">
        <x:v>1444</x:v>
      </x:c>
      <x:c r="C136" s="3" t="s">
        <x:v>817</x:v>
      </x:c>
      <x:c r="D136" s="44"/>
      <x:c r="E136" s="4"/>
      <x:c r="F136" s="5">
        <x:f t="shared" si="21"/>
        <x:v>0</x:v>
      </x:c>
      <x:c r="G136" s="6"/>
      <x:c r="H136" s="299"/>
      <x:c r="I136" s="3"/>
      <x:c r="J136" s="3"/>
      <x:c r="K136" s="4"/>
      <x:c r="L136" s="4"/>
      <x:c r="M136" s="5">
        <x:f t="shared" si="22"/>
        <x:v>0</x:v>
      </x:c>
      <x:c r="N136" s="6"/>
      <x:c r="V136" s="1"/>
    </x:row>
    <x:row r="137" spans="1:22" s="2" customFormat="1" ht="20.100000000000001" customHeight="1">
      <x:c r="A137" s="300"/>
      <x:c r="B137" s="3"/>
      <x:c r="C137" s="3"/>
      <x:c r="D137" s="4"/>
      <x:c r="E137" s="4"/>
      <x:c r="F137" s="5"/>
      <x:c r="G137" s="6"/>
      <x:c r="H137" s="300"/>
      <x:c r="I137" s="3"/>
      <x:c r="J137" s="3"/>
      <x:c r="K137" s="4"/>
      <x:c r="L137" s="4"/>
      <x:c r="M137" s="5">
        <x:f t="shared" si="22"/>
        <x:v>0</x:v>
      </x:c>
      <x:c r="N137" s="6"/>
      <x:c r="V137" s="1"/>
    </x:row>
    <x:row r="138" spans="1:22" s="2" customFormat="1" ht="20.100000000000001" customHeight="1">
      <x:c r="A138" s="7" t="s">
        <x:v>155</x:v>
      </x:c>
      <x:c r="B138" s="8"/>
      <x:c r="C138" s="8"/>
      <x:c r="D138" s="9">
        <x:f>SUM(D130:D137)</x:f>
        <x:v>1049870</x:v>
      </x:c>
      <x:c r="E138" s="9">
        <x:f>SUM(E130:E137)</x:f>
        <x:v>30400</x:v>
      </x:c>
      <x:c r="F138" s="10">
        <x:f>SUM(F130:F137)</x:f>
        <x:v>1080270</x:v>
      </x:c>
      <x:c r="G138" s="11"/>
      <x:c r="H138" s="7" t="s">
        <x:v>155</x:v>
      </x:c>
      <x:c r="I138" s="8"/>
      <x:c r="J138" s="8"/>
      <x:c r="K138" s="9">
        <x:f>SUM(K130:K137)</x:f>
        <x:v>2632514</x:v>
      </x:c>
      <x:c r="L138" s="9">
        <x:f>SUM(L130:L137)</x:f>
        <x:v>163000</x:v>
      </x:c>
      <x:c r="M138" s="10">
        <x:f>SUM(M130:M137)</x:f>
        <x:v>2795514</x:v>
      </x:c>
      <x:c r="N138" s="11"/>
      <x:c r="V138" s="1"/>
    </x:row>
    <x:row r="139" spans="1:22" s="2" customFormat="1" ht="20.100000000000001" customHeight="1">
      <x:c r="A139" s="12" t="s">
        <x:v>1690</x:v>
      </x:c>
      <x:c r="B139" s="13"/>
      <x:c r="C139" s="13"/>
      <x:c r="D139" s="14">
        <x:f>+D120+D125+D129+D138</x:f>
        <x:v>33424130</x:v>
      </x:c>
      <x:c r="E139" s="14">
        <x:f>+E120+E125+E129+E138</x:f>
        <x:v>2098226</x:v>
      </x:c>
      <x:c r="F139" s="15">
        <x:f>+F120+F125+F129+F138</x:f>
        <x:v>35522356</x:v>
      </x:c>
      <x:c r="G139" s="16"/>
      <x:c r="H139" s="12" t="s">
        <x:v>1690</x:v>
      </x:c>
      <x:c r="I139" s="13"/>
      <x:c r="J139" s="13"/>
      <x:c r="K139" s="14">
        <x:f>+K120+K125+K129+K138</x:f>
        <x:v>227089158</x:v>
      </x:c>
      <x:c r="L139" s="14">
        <x:f>+L120+L125+L129+L138</x:f>
        <x:v>19376660.399999999</x:v>
      </x:c>
      <x:c r="M139" s="15">
        <x:f>+M120+M125+M129+M138</x:f>
        <x:v>246465818.39999998</x:v>
      </x:c>
      <x:c r="N139" s="16"/>
      <x:c r="V139" s="1"/>
    </x:row>
    <x:row r="140" spans="1:22" s="2" customFormat="1" ht="20.100000000000001" customHeight="1">
      <x:c r="A140" s="23" t="s">
        <x:v>35</x:v>
      </x:c>
      <x:c r="B140" s="24"/>
      <x:c r="C140" s="24"/>
      <x:c r="D140" s="25">
        <x:f>+D97-D139</x:f>
        <x:v>-33424130</x:v>
      </x:c>
      <x:c r="E140" s="25">
        <x:f>+E97-E139</x:f>
        <x:v>-2098226</x:v>
      </x:c>
      <x:c r="F140" s="26">
        <x:f>+F97-F139</x:f>
        <x:v>-35522356</x:v>
      </x:c>
      <x:c r="G140" s="27"/>
      <x:c r="H140" s="23" t="s">
        <x:v>35</x:v>
      </x:c>
      <x:c r="I140" s="24"/>
      <x:c r="J140" s="24"/>
      <x:c r="K140" s="25">
        <x:f>+K97-K139</x:f>
        <x:v>-47298618</x:v>
      </x:c>
      <x:c r="L140" s="25">
        <x:f>+L97-L139</x:f>
        <x:v>-3976660.3999999985</x:v>
      </x:c>
      <x:c r="M140" s="26">
        <x:f>+M97-M139</x:f>
        <x:v>-51275278.399999976</x:v>
      </x:c>
      <x:c r="N140" s="27"/>
      <x:c r="V140" s="1"/>
    </x:row>
    <x:row r="141" spans="1:22" s="2" customFormat="1" ht="20.100000000000001" customHeight="1">
      <x:c r="A141" s="302" t="s">
        <x:v>423</x:v>
      </x:c>
      <x:c r="B141" s="303"/>
      <x:c r="C141" s="303"/>
      <x:c r="D141" s="303"/>
      <x:c r="E141" s="303"/>
      <x:c r="F141" s="304"/>
      <x:c r="G141" s="305"/>
      <x:c r="H141" s="302" t="s">
        <x:v>494</x:v>
      </x:c>
      <x:c r="I141" s="303"/>
      <x:c r="J141" s="303"/>
      <x:c r="K141" s="303"/>
      <x:c r="L141" s="303"/>
      <x:c r="M141" s="304"/>
      <x:c r="N141" s="305"/>
      <x:c r="V141" s="1"/>
    </x:row>
    <x:row r="142" spans="1:22" s="2" customFormat="1" ht="20.100000000000001" customHeight="1">
      <x:c r="A142" s="29" t="s">
        <x:v>147</x:v>
      </x:c>
      <x:c r="B142" s="236" t="s">
        <x:v>144</x:v>
      </x:c>
      <x:c r="C142" s="236" t="s">
        <x:v>150</x:v>
      </x:c>
      <x:c r="D142" s="31" t="s">
        <x:v>145</x:v>
      </x:c>
      <x:c r="E142" s="31" t="s">
        <x:v>152</x:v>
      </x:c>
      <x:c r="F142" s="32" t="s">
        <x:v>146</x:v>
      </x:c>
      <x:c r="G142" s="33" t="s">
        <x:v>154</x:v>
      </x:c>
      <x:c r="H142" s="29" t="s">
        <x:v>147</x:v>
      </x:c>
      <x:c r="I142" s="236" t="s">
        <x:v>144</x:v>
      </x:c>
      <x:c r="J142" s="236" t="s">
        <x:v>150</x:v>
      </x:c>
      <x:c r="K142" s="31" t="s">
        <x:v>145</x:v>
      </x:c>
      <x:c r="L142" s="31" t="s">
        <x:v>152</x:v>
      </x:c>
      <x:c r="M142" s="31" t="s">
        <x:v>146</x:v>
      </x:c>
      <x:c r="N142" s="34" t="s">
        <x:v>154</x:v>
      </x:c>
      <x:c r="V142" s="1"/>
    </x:row>
    <x:row r="143" spans="1:22" s="2" customFormat="1" ht="20.100000000000001" customHeight="1">
      <x:c r="A143" s="235" t="s">
        <x:v>151</x:v>
      </x:c>
      <x:c r="B143" s="38" t="s">
        <x:v>1679</x:v>
      </x:c>
      <x:c r="C143" s="38" t="s">
        <x:v>156</x:v>
      </x:c>
      <x:c r="D143" s="39">
        <x:v>45060000</x:v>
      </x:c>
      <x:c r="E143" s="39">
        <x:f>+D143*0.1</x:f>
        <x:v>4506000</x:v>
      </x:c>
      <x:c r="F143" s="40">
        <x:f t="shared" ref="F143:F158" si="23">+D143+E143</x:f>
        <x:v>49566000</x:v>
      </x:c>
      <x:c r="G143" s="18"/>
      <x:c r="H143" s="41" t="s">
        <x:v>151</x:v>
      </x:c>
      <x:c r="I143" s="38" t="s">
        <x:v>1679</x:v>
      </x:c>
      <x:c r="J143" s="38" t="s">
        <x:v>1030</x:v>
      </x:c>
      <x:c r="K143" s="39"/>
      <x:c r="L143" s="39"/>
      <x:c r="M143" s="40">
        <x:f>+K143+L143</x:f>
        <x:v>0</x:v>
      </x:c>
      <x:c r="N143" s="42"/>
      <x:c r="V143" s="1"/>
    </x:row>
    <x:row r="144" spans="1:22" s="2" customFormat="1" ht="20.100000000000001" customHeight="1">
      <x:c r="A144" s="298" t="s">
        <x:v>148</x:v>
      </x:c>
      <x:c r="B144" s="54" t="s">
        <x:v>1329</x:v>
      </x:c>
      <x:c r="C144" s="54" t="s">
        <x:v>1112</x:v>
      </x:c>
      <x:c r="D144" s="93"/>
      <x:c r="E144" s="93"/>
      <x:c r="F144" s="94">
        <x:f t="shared" si="23"/>
        <x:v>0</x:v>
      </x:c>
      <x:c r="G144" s="95" t="s">
        <x:v>273</x:v>
      </x:c>
      <x:c r="H144" s="298" t="s">
        <x:v>148</x:v>
      </x:c>
      <x:c r="I144" s="19" t="s">
        <x:v>867</x:v>
      </x:c>
      <x:c r="J144" s="19" t="s">
        <x:v>1287</x:v>
      </x:c>
      <x:c r="K144" s="20">
        <x:v>17848325</x:v>
      </x:c>
      <x:c r="L144" s="20">
        <x:f>+K144*0.1-1</x:f>
        <x:v>1784831.5</x:v>
      </x:c>
      <x:c r="M144" s="21">
        <x:f t="shared" ref="M144:M159" si="24">+K144+L144</x:f>
        <x:v>19633156.5</x:v>
      </x:c>
      <x:c r="N144" s="22"/>
      <x:c r="V144" s="1"/>
    </x:row>
    <x:row r="145" spans="1:22" s="2" customFormat="1" ht="20.100000000000001" customHeight="1">
      <x:c r="A145" s="299"/>
      <x:c r="B145" s="162" t="s">
        <x:v>1358</x:v>
      </x:c>
      <x:c r="C145" s="162"/>
      <x:c r="D145" s="163"/>
      <x:c r="E145" s="4"/>
      <x:c r="F145" s="193">
        <x:f t="shared" si="23"/>
        <x:v>0</x:v>
      </x:c>
      <x:c r="G145" s="180" t="s">
        <x:v>258</x:v>
      </x:c>
      <x:c r="H145" s="299"/>
      <x:c r="I145" s="3" t="s">
        <x:v>1348</x:v>
      </x:c>
      <x:c r="J145" s="3" t="s">
        <x:v>1111</x:v>
      </x:c>
      <x:c r="K145" s="4">
        <x:v>152868</x:v>
      </x:c>
      <x:c r="L145" s="4">
        <x:f>+K145*0.1-1</x:f>
        <x:v>15285.800000000001</x:v>
      </x:c>
      <x:c r="M145" s="5">
        <x:f t="shared" si="24"/>
        <x:v>168153.79999999999</x:v>
      </x:c>
      <x:c r="N145" s="6"/>
      <x:c r="V145" s="1"/>
    </x:row>
    <x:row r="146" spans="1:22" s="2" customFormat="1" ht="20.100000000000001" customHeight="1">
      <x:c r="A146" s="299"/>
      <x:c r="B146" s="3" t="s">
        <x:v>1362</x:v>
      </x:c>
      <x:c r="C146" s="3"/>
      <x:c r="D146" s="4"/>
      <x:c r="E146" s="4"/>
      <x:c r="F146" s="194">
        <x:f t="shared" si="23"/>
        <x:v>0</x:v>
      </x:c>
      <x:c r="G146" s="180" t="s">
        <x:v>258</x:v>
      </x:c>
      <x:c r="H146" s="299"/>
      <x:c r="I146" s="3" t="s">
        <x:v>838</x:v>
      </x:c>
      <x:c r="J146" s="3" t="s">
        <x:v>1116</x:v>
      </x:c>
      <x:c r="K146" s="4">
        <x:v>4079888</x:v>
      </x:c>
      <x:c r="L146" s="4">
        <x:f>+K146*0.1-1</x:f>
        <x:v>407987.80000000005</x:v>
      </x:c>
      <x:c r="M146" s="5">
        <x:f t="shared" si="24"/>
        <x:v>4487875.7999999998</x:v>
      </x:c>
      <x:c r="N146" s="6"/>
      <x:c r="V146" s="1"/>
    </x:row>
    <x:row r="147" spans="1:22" s="2" customFormat="1" ht="20.100000000000001" customHeight="1">
      <x:c r="A147" s="299"/>
      <x:c r="B147" s="3" t="s">
        <x:v>1363</x:v>
      </x:c>
      <x:c r="C147" s="3"/>
      <x:c r="D147" s="4"/>
      <x:c r="E147" s="4"/>
      <x:c r="F147" s="194">
        <x:f t="shared" si="23"/>
        <x:v>0</x:v>
      </x:c>
      <x:c r="G147" s="180" t="s">
        <x:v>258</x:v>
      </x:c>
      <x:c r="H147" s="299"/>
      <x:c r="I147" s="3" t="s">
        <x:v>938</x:v>
      </x:c>
      <x:c r="J147" s="3"/>
      <x:c r="K147" s="4"/>
      <x:c r="L147" s="4"/>
      <x:c r="M147" s="5">
        <x:f t="shared" si="24"/>
        <x:v>0</x:v>
      </x:c>
      <x:c r="N147" s="6"/>
      <x:c r="V147" s="1"/>
    </x:row>
    <x:row r="148" spans="1:22" s="2" customFormat="1" ht="20.100000000000001" customHeight="1">
      <x:c r="A148" s="299"/>
      <x:c r="B148" s="3" t="s">
        <x:v>1372</x:v>
      </x:c>
      <x:c r="C148" s="3"/>
      <x:c r="D148" s="4"/>
      <x:c r="E148" s="4"/>
      <x:c r="F148" s="194">
        <x:f t="shared" si="23"/>
        <x:v>0</x:v>
      </x:c>
      <x:c r="G148" s="180" t="s">
        <x:v>258</x:v>
      </x:c>
      <x:c r="H148" s="299"/>
      <x:c r="I148" s="3" t="s">
        <x:v>976</x:v>
      </x:c>
      <x:c r="J148" s="3" t="s">
        <x:v>430</x:v>
      </x:c>
      <x:c r="K148" s="35">
        <x:v>6946486</x:v>
      </x:c>
      <x:c r="L148" s="35">
        <x:f>+K148*0.1</x:f>
        <x:v>694648.60000000009</x:v>
      </x:c>
      <x:c r="M148" s="36">
        <x:f t="shared" si="24"/>
        <x:v>7641134.5999999996</x:v>
      </x:c>
      <x:c r="N148" s="37" t="s">
        <x:v>1611</x:v>
      </x:c>
      <x:c r="V148" s="1"/>
    </x:row>
    <x:row r="149" spans="1:22" s="2" customFormat="1" ht="20.100000000000001" customHeight="1">
      <x:c r="A149" s="299"/>
      <x:c r="B149" s="3" t="s">
        <x:v>1380</x:v>
      </x:c>
      <x:c r="C149" s="3" t="s">
        <x:v>1377</x:v>
      </x:c>
      <x:c r="D149" s="4">
        <x:v>23950000</x:v>
      </x:c>
      <x:c r="E149" s="4">
        <x:f>+INT(D149*0.1)</x:f>
        <x:v>2395000</x:v>
      </x:c>
      <x:c r="F149" s="194">
        <x:f t="shared" si="23"/>
        <x:v>26345000</x:v>
      </x:c>
      <x:c r="G149" s="180" t="s">
        <x:v>258</x:v>
      </x:c>
      <x:c r="H149" s="299"/>
      <x:c r="I149" s="3" t="s">
        <x:v>846</x:v>
      </x:c>
      <x:c r="J149" s="3" t="s">
        <x:v>1595</x:v>
      </x:c>
      <x:c r="K149" s="4">
        <x:v>2271750</x:v>
      </x:c>
      <x:c r="L149" s="4">
        <x:f>+K149*0.1</x:f>
        <x:v>227175</x:v>
      </x:c>
      <x:c r="M149" s="5">
        <x:f t="shared" si="24"/>
        <x:v>2498925</x:v>
      </x:c>
      <x:c r="N149" s="6"/>
      <x:c r="V149" s="1"/>
    </x:row>
    <x:row r="150" spans="1:22" s="2" customFormat="1" ht="20.100000000000001" customHeight="1">
      <x:c r="A150" s="299"/>
      <x:c r="B150" s="3" t="s">
        <x:v>938</x:v>
      </x:c>
      <x:c r="C150" s="3"/>
      <x:c r="D150" s="4"/>
      <x:c r="E150" s="4"/>
      <x:c r="F150" s="194">
        <x:f t="shared" si="23"/>
        <x:v>0</x:v>
      </x:c>
      <x:c r="G150" s="6" t="s">
        <x:v>273</x:v>
      </x:c>
      <x:c r="H150" s="299"/>
      <x:c r="I150" s="3" t="s">
        <x:v>1378</x:v>
      </x:c>
      <x:c r="J150" s="3"/>
      <x:c r="K150" s="4"/>
      <x:c r="L150" s="4"/>
      <x:c r="M150" s="5">
        <x:f t="shared" si="24"/>
        <x:v>0</x:v>
      </x:c>
      <x:c r="N150" s="6"/>
      <x:c r="V150" s="1"/>
    </x:row>
    <x:row r="151" spans="1:22" s="2" customFormat="1" ht="20.100000000000001" customHeight="1">
      <x:c r="A151" s="299"/>
      <x:c r="B151" s="3" t="s">
        <x:v>1418</x:v>
      </x:c>
      <x:c r="C151" s="3"/>
      <x:c r="D151" s="4"/>
      <x:c r="E151" s="4"/>
      <x:c r="F151" s="194">
        <x:f t="shared" si="23"/>
        <x:v>0</x:v>
      </x:c>
      <x:c r="G151" s="180" t="s">
        <x:v>258</x:v>
      </x:c>
      <x:c r="H151" s="299"/>
      <x:c r="I151" s="3" t="s">
        <x:v>1449</x:v>
      </x:c>
      <x:c r="J151" s="3" t="s">
        <x:v>1642</x:v>
      </x:c>
      <x:c r="K151" s="4">
        <x:v>95700</x:v>
      </x:c>
      <x:c r="L151" s="4">
        <x:f>+K151*0.1</x:f>
        <x:v>9570</x:v>
      </x:c>
      <x:c r="M151" s="5">
        <x:f t="shared" si="24"/>
        <x:v>105270</x:v>
      </x:c>
      <x:c r="N151" s="6"/>
      <x:c r="V151" s="1"/>
    </x:row>
    <x:row r="152" spans="1:22" s="2" customFormat="1" ht="20.100000000000001" customHeight="1">
      <x:c r="A152" s="299"/>
      <x:c r="B152" s="3" t="s">
        <x:v>1406</x:v>
      </x:c>
      <x:c r="C152" s="3"/>
      <x:c r="D152" s="4"/>
      <x:c r="E152" s="4"/>
      <x:c r="F152" s="194">
        <x:f t="shared" si="23"/>
        <x:v>0</x:v>
      </x:c>
      <x:c r="G152" s="180" t="s">
        <x:v>258</x:v>
      </x:c>
      <x:c r="H152" s="299"/>
      <x:c r="I152" s="3"/>
      <x:c r="J152" s="3"/>
      <x:c r="K152" s="4"/>
      <x:c r="L152" s="4"/>
      <x:c r="M152" s="5"/>
      <x:c r="N152" s="6"/>
      <x:c r="V152" s="1"/>
    </x:row>
    <x:row r="153" spans="1:22" s="2" customFormat="1" ht="20.100000000000001" customHeight="1">
      <x:c r="A153" s="299"/>
      <x:c r="B153" s="3" t="s">
        <x:v>276</x:v>
      </x:c>
      <x:c r="C153" s="3"/>
      <x:c r="D153" s="4"/>
      <x:c r="E153" s="4"/>
      <x:c r="F153" s="194">
        <x:f t="shared" si="23"/>
        <x:v>0</x:v>
      </x:c>
      <x:c r="G153" s="180" t="s">
        <x:v>258</x:v>
      </x:c>
      <x:c r="H153" s="299"/>
      <x:c r="I153" s="3"/>
      <x:c r="J153" s="3"/>
      <x:c r="K153" s="4"/>
      <x:c r="L153" s="4"/>
      <x:c r="M153" s="5">
        <x:f t="shared" si="24"/>
        <x:v>0</x:v>
      </x:c>
      <x:c r="N153" s="6"/>
      <x:c r="V153" s="1"/>
    </x:row>
    <x:row r="154" spans="1:22" s="2" customFormat="1" ht="20.100000000000001" customHeight="1">
      <x:c r="A154" s="299"/>
      <x:c r="B154" s="3" t="s">
        <x:v>1400</x:v>
      </x:c>
      <x:c r="C154" s="3"/>
      <x:c r="D154" s="4"/>
      <x:c r="E154" s="4"/>
      <x:c r="F154" s="194">
        <x:f t="shared" si="23"/>
        <x:v>0</x:v>
      </x:c>
      <x:c r="G154" s="6" t="s">
        <x:v>273</x:v>
      </x:c>
      <x:c r="H154" s="299"/>
      <x:c r="I154" s="3"/>
      <x:c r="J154" s="3"/>
      <x:c r="K154" s="4"/>
      <x:c r="L154" s="4"/>
      <x:c r="M154" s="5">
        <x:f t="shared" si="24"/>
        <x:v>0</x:v>
      </x:c>
      <x:c r="N154" s="6"/>
      <x:c r="V154" s="1"/>
    </x:row>
    <x:row r="155" spans="1:22" s="2" customFormat="1" ht="20.100000000000001" customHeight="1">
      <x:c r="A155" s="299"/>
      <x:c r="B155" s="3" t="s">
        <x:v>1448</x:v>
      </x:c>
      <x:c r="C155" s="3" t="s">
        <x:v>1590</x:v>
      </x:c>
      <x:c r="D155" s="4">
        <x:v>2928000</x:v>
      </x:c>
      <x:c r="E155" s="4">
        <x:f>+D155*0.1</x:f>
        <x:v>292800</x:v>
      </x:c>
      <x:c r="F155" s="5">
        <x:f t="shared" si="23"/>
        <x:v>3220800</x:v>
      </x:c>
      <x:c r="G155" s="6" t="s">
        <x:v>273</x:v>
      </x:c>
      <x:c r="H155" s="299"/>
      <x:c r="I155" s="3"/>
      <x:c r="J155" s="3"/>
      <x:c r="K155" s="4"/>
      <x:c r="L155" s="4"/>
      <x:c r="M155" s="5">
        <x:f t="shared" si="24"/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>
        <x:f t="shared" si="23"/>
        <x:v>0</x:v>
      </x:c>
      <x:c r="G156" s="6"/>
      <x:c r="H156" s="299"/>
      <x:c r="I156" s="3"/>
      <x:c r="J156" s="3"/>
      <x:c r="K156" s="4"/>
      <x:c r="L156" s="4"/>
      <x:c r="M156" s="5">
        <x:f t="shared" si="24"/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/>
      <x:c r="G157" s="6"/>
      <x:c r="H157" s="299"/>
      <x:c r="I157" s="3"/>
      <x:c r="J157" s="3"/>
      <x:c r="K157" s="4"/>
      <x:c r="L157" s="4"/>
      <x:c r="M157" s="5">
        <x:f t="shared" si="24"/>
        <x:v>0</x:v>
      </x:c>
      <x:c r="N157" s="6"/>
      <x:c r="V157" s="1"/>
    </x:row>
    <x:row r="158" spans="1:22" s="2" customFormat="1" ht="20.100000000000001" customHeight="1">
      <x:c r="A158" s="299"/>
      <x:c r="B158" s="3"/>
      <x:c r="C158" s="3"/>
      <x:c r="D158" s="4"/>
      <x:c r="E158" s="4"/>
      <x:c r="F158" s="5">
        <x:f t="shared" si="23"/>
        <x:v>0</x:v>
      </x:c>
      <x:c r="G158" s="6"/>
      <x:c r="H158" s="299"/>
      <x:c r="I158" s="3"/>
      <x:c r="J158" s="3"/>
      <x:c r="K158" s="4"/>
      <x:c r="L158" s="4"/>
      <x:c r="M158" s="5">
        <x:f t="shared" si="24"/>
        <x:v>0</x:v>
      </x:c>
      <x:c r="N158" s="6"/>
      <x:c r="V158" s="1"/>
    </x:row>
    <x:row r="159" spans="1:22" s="2" customFormat="1" ht="20.100000000000001" customHeight="1">
      <x:c r="A159" s="300"/>
      <x:c r="B159" s="3"/>
      <x:c r="C159" s="3"/>
      <x:c r="D159" s="4"/>
      <x:c r="E159" s="4"/>
      <x:c r="F159" s="5"/>
      <x:c r="G159" s="6"/>
      <x:c r="H159" s="300"/>
      <x:c r="I159" s="3"/>
      <x:c r="J159" s="3"/>
      <x:c r="K159" s="4"/>
      <x:c r="L159" s="4"/>
      <x:c r="M159" s="5">
        <x:f t="shared" si="24"/>
        <x:v>0</x:v>
      </x:c>
      <x:c r="N159" s="6"/>
      <x:c r="V159" s="1"/>
    </x:row>
    <x:row r="160" spans="1:22" s="2" customFormat="1" ht="20.100000000000001" customHeight="1">
      <x:c r="A160" s="7" t="s">
        <x:v>155</x:v>
      </x:c>
      <x:c r="B160" s="8"/>
      <x:c r="C160" s="8"/>
      <x:c r="D160" s="9">
        <x:f>SUM(D144:D159)</x:f>
        <x:v>26878000</x:v>
      </x:c>
      <x:c r="E160" s="9">
        <x:f>SUM(E144:E159)</x:f>
        <x:v>2687800</x:v>
      </x:c>
      <x:c r="F160" s="10">
        <x:f>SUM(F144:F159)</x:f>
        <x:v>29565800</x:v>
      </x:c>
      <x:c r="G160" s="11"/>
      <x:c r="H160" s="7"/>
      <x:c r="I160" s="8"/>
      <x:c r="J160" s="8"/>
      <x:c r="K160" s="9">
        <x:f>SUM(K144:K159)</x:f>
        <x:v>31395017</x:v>
      </x:c>
      <x:c r="L160" s="9">
        <x:f>SUM(L144:L159)</x:f>
        <x:v>3139498.7000000002</x:v>
      </x:c>
      <x:c r="M160" s="10">
        <x:f>SUM(M144:M159)</x:f>
        <x:v>34534515.700000003</x:v>
      </x:c>
      <x:c r="N160" s="11"/>
      <x:c r="V160" s="1"/>
    </x:row>
    <x:row r="161" spans="1:22" s="2" customFormat="1" ht="20.100000000000001" customHeight="1">
      <x:c r="A161" s="301" t="s">
        <x:v>153</x:v>
      </x:c>
      <x:c r="B161" s="3" t="s">
        <x:v>1241</x:v>
      </x:c>
      <x:c r="C161" s="3" t="s">
        <x:v>1594</x:v>
      </x:c>
      <x:c r="D161" s="44">
        <x:v>13450000</x:v>
      </x:c>
      <x:c r="E161" s="44"/>
      <x:c r="F161" s="45">
        <x:f>+D161+E161</x:f>
        <x:v>13450000</x:v>
      </x:c>
      <x:c r="G161" s="180" t="s">
        <x:v>258</x:v>
      </x:c>
      <x:c r="H161" s="301" t="s">
        <x:v>153</x:v>
      </x:c>
      <x:c r="I161" s="3" t="s">
        <x:v>1677</x:v>
      </x:c>
      <x:c r="J161" s="3" t="s">
        <x:v>1083</x:v>
      </x:c>
      <x:c r="K161" s="4">
        <x:v>20190000</x:v>
      </x:c>
      <x:c r="L161" s="4"/>
      <x:c r="M161" s="5">
        <x:f>+K161+L161</x:f>
        <x:v>20190000</x:v>
      </x:c>
      <x:c r="N161" s="6"/>
      <x:c r="V161" s="1"/>
    </x:row>
    <x:row r="162" spans="1:22" s="2" customFormat="1" ht="20.100000000000001" customHeight="1">
      <x:c r="A162" s="299"/>
      <x:c r="B162" s="3"/>
      <x:c r="C162" s="3"/>
      <x:c r="D162" s="44"/>
      <x:c r="E162" s="44">
        <x:f>+D162*0.1</x:f>
        <x:v>0</x:v>
      </x:c>
      <x:c r="F162" s="45">
        <x:f>+D162+E162</x:f>
        <x:v>0</x:v>
      </x:c>
      <x:c r="G162" s="37"/>
      <x:c r="H162" s="299"/>
      <x:c r="I162" s="3"/>
      <x:c r="J162" s="3"/>
      <x:c r="K162" s="4"/>
      <x:c r="L162" s="4"/>
      <x:c r="M162" s="5">
        <x:f>+K162+L162</x:f>
        <x:v>0</x:v>
      </x:c>
      <x:c r="N162" s="6"/>
      <x:c r="V162" s="1"/>
    </x:row>
    <x:row r="163" spans="1:22" s="2" customFormat="1" ht="20.100000000000001" customHeight="1">
      <x:c r="A163" s="299"/>
      <x:c r="B163" s="3"/>
      <x:c r="C163" s="3"/>
      <x:c r="D163" s="4"/>
      <x:c r="E163" s="4">
        <x:f>+D163*0.1</x:f>
        <x:v>0</x:v>
      </x:c>
      <x:c r="F163" s="5">
        <x:f>+D163+E163</x:f>
        <x:v>0</x:v>
      </x:c>
      <x:c r="G163" s="6"/>
      <x:c r="H163" s="299"/>
      <x:c r="I163" s="3"/>
      <x:c r="J163" s="3"/>
      <x:c r="K163" s="4"/>
      <x:c r="L163" s="4"/>
      <x:c r="M163" s="5">
        <x:f>+K163+L163</x:f>
        <x:v>0</x:v>
      </x:c>
      <x:c r="N163" s="6"/>
      <x:c r="V163" s="1"/>
    </x:row>
    <x:row r="164" spans="1:22" s="2" customFormat="1" ht="20.100000000000001" customHeight="1">
      <x:c r="A164" s="300"/>
      <x:c r="B164" s="3"/>
      <x:c r="C164" s="3"/>
      <x:c r="D164" s="4"/>
      <x:c r="E164" s="4">
        <x:f>+D164*0.1</x:f>
        <x:v>0</x:v>
      </x:c>
      <x:c r="F164" s="5">
        <x:f>+D164+E164</x:f>
        <x:v>0</x:v>
      </x:c>
      <x:c r="G164" s="6"/>
      <x:c r="H164" s="300"/>
      <x:c r="I164" s="3"/>
      <x:c r="J164" s="3"/>
      <x:c r="K164" s="4"/>
      <x:c r="L164" s="4"/>
      <x:c r="M164" s="5">
        <x:f>+K164+L164</x:f>
        <x:v>0</x:v>
      </x:c>
      <x:c r="N164" s="6"/>
      <x:c r="V164" s="1"/>
    </x:row>
    <x:row r="165" spans="1:22" s="2" customFormat="1" ht="20.100000000000001" customHeight="1">
      <x:c r="A165" s="7" t="s">
        <x:v>155</x:v>
      </x:c>
      <x:c r="B165" s="8"/>
      <x:c r="C165" s="8"/>
      <x:c r="D165" s="9">
        <x:f>SUM(D161:D164)</x:f>
        <x:v>13450000</x:v>
      </x:c>
      <x:c r="E165" s="9">
        <x:f>SUM(E161:E164)</x:f>
        <x:v>0</x:v>
      </x:c>
      <x:c r="F165" s="10">
        <x:f>SUM(F161:F164)</x:f>
        <x:v>13450000</x:v>
      </x:c>
      <x:c r="G165" s="11"/>
      <x:c r="H165" s="7"/>
      <x:c r="I165" s="8"/>
      <x:c r="J165" s="8"/>
      <x:c r="K165" s="9">
        <x:f>SUM(K161:K164)</x:f>
        <x:v>20190000</x:v>
      </x:c>
      <x:c r="L165" s="9">
        <x:f>SUM(L161:L164)</x:f>
        <x:v>0</x:v>
      </x:c>
      <x:c r="M165" s="10">
        <x:f>SUM(M161:M164)</x:f>
        <x:v>20190000</x:v>
      </x:c>
      <x:c r="N165" s="11"/>
      <x:c r="V165" s="1"/>
    </x:row>
    <x:row r="166" spans="1:22" s="2" customFormat="1" ht="20.100000000000001" customHeight="1">
      <x:c r="A166" s="301" t="s">
        <x:v>187</x:v>
      </x:c>
      <x:c r="B166" s="3" t="s">
        <x:v>484</x:v>
      </x:c>
      <x:c r="C166" s="3" t="s">
        <x:v>1373</x:v>
      </x:c>
      <x:c r="D166" s="4"/>
      <x:c r="E166" s="4">
        <x:f>+D166*0.1</x:f>
        <x:v>0</x:v>
      </x:c>
      <x:c r="F166" s="5">
        <x:f>+D166+E166</x:f>
        <x:v>0</x:v>
      </x:c>
      <x:c r="G166" s="180" t="s">
        <x:v>258</x:v>
      </x:c>
      <x:c r="H166" s="301" t="s">
        <x:v>187</x:v>
      </x:c>
      <x:c r="I166" s="3" t="s">
        <x:v>857</x:v>
      </x:c>
      <x:c r="J166" s="3" t="s">
        <x:v>1006</x:v>
      </x:c>
      <x:c r="K166" s="4">
        <x:v>300000</x:v>
      </x:c>
      <x:c r="L166" s="4">
        <x:f>+K166*0.1</x:f>
        <x:v>30000</x:v>
      </x:c>
      <x:c r="M166" s="5">
        <x:f>+K166+L166</x:f>
        <x:v>330000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>+D167+E167</x:f>
        <x:v>0</x:v>
      </x:c>
      <x:c r="G167" s="180"/>
      <x:c r="H167" s="299"/>
      <x:c r="I167" s="3" t="s">
        <x:v>559</x:v>
      </x:c>
      <x:c r="J167" s="3" t="s">
        <x:v>948</x:v>
      </x:c>
      <x:c r="K167" s="4">
        <x:v>180000</x:v>
      </x:c>
      <x:c r="L167" s="4">
        <x:f>+K167*0.1</x:f>
        <x:v>18000</x:v>
      </x:c>
      <x:c r="M167" s="5">
        <x:f>+K167+L167</x:f>
        <x:v>198000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>+D168+E168</x:f>
        <x:v>0</x:v>
      </x:c>
      <x:c r="G168" s="180"/>
      <x:c r="H168" s="299"/>
      <x:c r="I168" s="3"/>
      <x:c r="J168" s="3"/>
      <x:c r="K168" s="4"/>
      <x:c r="L168" s="4"/>
      <x:c r="M168" s="5">
        <x:f>+K168+L168</x:f>
        <x:v>0</x:v>
      </x:c>
      <x:c r="N168" s="6"/>
      <x:c r="V168" s="1"/>
    </x:row>
    <x:row r="169" spans="1:22" s="2" customFormat="1" ht="20.100000000000001" customHeight="1">
      <x:c r="A169" s="300"/>
      <x:c r="B169" s="3"/>
      <x:c r="C169" s="3"/>
      <x:c r="D169" s="4"/>
      <x:c r="E169" s="4"/>
      <x:c r="F169" s="5">
        <x:f>+D169+E169</x:f>
        <x:v>0</x:v>
      </x:c>
      <x:c r="G169" s="6"/>
      <x:c r="H169" s="300"/>
      <x:c r="I169" s="3"/>
      <x:c r="J169" s="3"/>
      <x:c r="K169" s="4"/>
      <x:c r="L169" s="4"/>
      <x:c r="M169" s="5">
        <x:f>+K169+L169</x:f>
        <x:v>0</x:v>
      </x:c>
      <x:c r="N169" s="6"/>
      <x:c r="V169" s="1"/>
    </x:row>
    <x:row r="170" spans="1:22" s="2" customFormat="1" ht="20.100000000000001" customHeight="1">
      <x:c r="A170" s="7" t="s">
        <x:v>155</x:v>
      </x:c>
      <x:c r="B170" s="8"/>
      <x:c r="C170" s="8"/>
      <x:c r="D170" s="9">
        <x:f>SUM(D166:D169)</x:f>
        <x:v>0</x:v>
      </x:c>
      <x:c r="E170" s="9">
        <x:f>SUM(E166:E169)</x:f>
        <x:v>0</x:v>
      </x:c>
      <x:c r="F170" s="10">
        <x:f>SUM(F166:F169)</x:f>
        <x:v>0</x:v>
      </x:c>
      <x:c r="G170" s="11"/>
      <x:c r="H170" s="7"/>
      <x:c r="I170" s="8"/>
      <x:c r="J170" s="8"/>
      <x:c r="K170" s="9">
        <x:f>SUM(K166:K169)</x:f>
        <x:v>480000</x:v>
      </x:c>
      <x:c r="L170" s="9">
        <x:f>SUM(L166:L169)</x:f>
        <x:v>48000</x:v>
      </x:c>
      <x:c r="M170" s="10">
        <x:f>SUM(M166:M169)</x:f>
        <x:v>528000</x:v>
      </x:c>
      <x:c r="N170" s="11"/>
      <x:c r="V170" s="1"/>
    </x:row>
    <x:row r="171" spans="1:22" s="2" customFormat="1" ht="20.100000000000001" customHeight="1">
      <x:c r="A171" s="301" t="s">
        <x:v>149</x:v>
      </x:c>
      <x:c r="B171" s="3" t="s">
        <x:v>1404</x:v>
      </x:c>
      <x:c r="C171" s="3" t="s">
        <x:v>887</x:v>
      </x:c>
      <x:c r="D171" s="4"/>
      <x:c r="E171" s="4"/>
      <x:c r="F171" s="5">
        <x:f>+D171+E171</x:f>
        <x:v>0</x:v>
      </x:c>
      <x:c r="G171" s="6" t="s">
        <x:v>489</x:v>
      </x:c>
      <x:c r="H171" s="301" t="s">
        <x:v>149</x:v>
      </x:c>
      <x:c r="I171" s="3" t="s">
        <x:v>169</x:v>
      </x:c>
      <x:c r="J171" s="3" t="s">
        <x:v>149</x:v>
      </x:c>
      <x:c r="K171" s="4">
        <x:v>2000280</x:v>
      </x:c>
      <x:c r="L171" s="4">
        <x:v>7000</x:v>
      </x:c>
      <x:c r="M171" s="5">
        <x:f t="shared" ref="M171:M179" si="25">+K171+L171</x:f>
        <x:v>2007280</x:v>
      </x:c>
      <x:c r="N171" s="6" t="s">
        <x:v>1518</x:v>
      </x:c>
      <x:c r="V171" s="1"/>
    </x:row>
    <x:row r="172" spans="1:22" s="2" customFormat="1" ht="20.100000000000001" customHeight="1">
      <x:c r="A172" s="299"/>
      <x:c r="B172" s="3"/>
      <x:c r="C172" s="3"/>
      <x:c r="D172" s="4"/>
      <x:c r="E172" s="4"/>
      <x:c r="F172" s="5">
        <x:f>+D172+E172</x:f>
        <x:v>0</x:v>
      </x:c>
      <x:c r="G172" s="6"/>
      <x:c r="H172" s="299"/>
      <x:c r="I172" s="3" t="s">
        <x:v>1481</x:v>
      </x:c>
      <x:c r="J172" s="3" t="s">
        <x:v>1356</x:v>
      </x:c>
      <x:c r="K172" s="4">
        <x:v>876000</x:v>
      </x:c>
      <x:c r="L172" s="4">
        <x:f>+K172*0.1</x:f>
        <x:v>87600</x:v>
      </x:c>
      <x:c r="M172" s="5">
        <x:f t="shared" si="25"/>
        <x:v>963600</x:v>
      </x:c>
      <x:c r="N172" s="6"/>
      <x:c r="V172" s="1"/>
    </x:row>
    <x:row r="173" spans="1:22" s="2" customFormat="1" ht="20.100000000000001" customHeight="1">
      <x:c r="A173" s="299"/>
      <x:c r="B173" s="3"/>
      <x:c r="C173" s="3"/>
      <x:c r="D173" s="4"/>
      <x:c r="E173" s="4"/>
      <x:c r="F173" s="5">
        <x:f>+D173+E173</x:f>
        <x:v>0</x:v>
      </x:c>
      <x:c r="G173" s="6"/>
      <x:c r="H173" s="299"/>
      <x:c r="I173" s="3" t="s">
        <x:v>261</x:v>
      </x:c>
      <x:c r="J173" s="3" t="s">
        <x:v>517</x:v>
      </x:c>
      <x:c r="K173" s="4">
        <x:v>500000</x:v>
      </x:c>
      <x:c r="L173" s="4"/>
      <x:c r="M173" s="5">
        <x:f t="shared" si="25"/>
        <x:v>500000</x:v>
      </x:c>
      <x:c r="N173" s="6"/>
      <x:c r="V173" s="1"/>
    </x:row>
    <x:row r="174" spans="1:22" s="2" customFormat="1" ht="20.100000000000001" customHeight="1">
      <x:c r="A174" s="299"/>
      <x:c r="B174" s="3"/>
      <x:c r="C174" s="3"/>
      <x:c r="D174" s="4"/>
      <x:c r="E174" s="4"/>
      <x:c r="F174" s="5">
        <x:f t="shared" ref="F174:F180" si="26">+D174+E174</x:f>
        <x:v>0</x:v>
      </x:c>
      <x:c r="G174" s="6"/>
      <x:c r="H174" s="299"/>
      <x:c r="I174" s="3" t="s">
        <x:v>527</x:v>
      </x:c>
      <x:c r="J174" s="3" t="s">
        <x:v>914</x:v>
      </x:c>
      <x:c r="K174" s="4">
        <x:v>130000</x:v>
      </x:c>
      <x:c r="L174" s="4">
        <x:f>+K174*0.1</x:f>
        <x:v>13000</x:v>
      </x:c>
      <x:c r="M174" s="5">
        <x:f t="shared" si="25"/>
        <x:v>143000</x:v>
      </x:c>
      <x:c r="N174" s="6"/>
      <x:c r="V174" s="1"/>
    </x:row>
    <x:row r="175" spans="1:22" s="2" customFormat="1" ht="20.100000000000001" customHeight="1">
      <x:c r="A175" s="299"/>
      <x:c r="B175" s="3"/>
      <x:c r="C175" s="3"/>
      <x:c r="D175" s="4"/>
      <x:c r="E175" s="4"/>
      <x:c r="F175" s="5">
        <x:f t="shared" si="26"/>
        <x:v>0</x:v>
      </x:c>
      <x:c r="G175" s="6"/>
      <x:c r="H175" s="299"/>
      <x:c r="I175" s="3" t="s">
        <x:v>247</x:v>
      </x:c>
      <x:c r="J175" s="3" t="s">
        <x:v>231</x:v>
      </x:c>
      <x:c r="K175" s="4">
        <x:f>21000+21000</x:f>
        <x:v>42000</x:v>
      </x:c>
      <x:c r="L175" s="4">
        <x:f>+K175*0.1</x:f>
        <x:v>4200</x:v>
      </x:c>
      <x:c r="M175" s="5">
        <x:f t="shared" si="25"/>
        <x:v>46200</x:v>
      </x:c>
      <x:c r="N175" s="6" t="s">
        <x:v>1451</x:v>
      </x:c>
      <x:c r="V175" s="1"/>
    </x:row>
    <x:row r="176" spans="1:22" s="2" customFormat="1" ht="20.100000000000001" customHeight="1">
      <x:c r="A176" s="299"/>
      <x:c r="B176" s="3"/>
      <x:c r="C176" s="3"/>
      <x:c r="D176" s="4"/>
      <x:c r="E176" s="4"/>
      <x:c r="F176" s="5">
        <x:f t="shared" si="26"/>
        <x:v>0</x:v>
      </x:c>
      <x:c r="G176" s="6"/>
      <x:c r="H176" s="299"/>
      <x:c r="I176" s="3" t="s">
        <x:v>555</x:v>
      </x:c>
      <x:c r="J176" s="3" t="s">
        <x:v>167</x:v>
      </x:c>
      <x:c r="K176" s="4"/>
      <x:c r="L176" s="4"/>
      <x:c r="M176" s="5">
        <x:f t="shared" si="25"/>
        <x:v>0</x:v>
      </x:c>
      <x:c r="N176" s="6"/>
      <x:c r="V176" s="1"/>
    </x:row>
    <x:row r="177" spans="1:22" s="2" customFormat="1" ht="20.100000000000001" customHeight="1">
      <x:c r="A177" s="299"/>
      <x:c r="B177" s="3"/>
      <x:c r="C177" s="3"/>
      <x:c r="D177" s="4"/>
      <x:c r="E177" s="4"/>
      <x:c r="F177" s="5">
        <x:f t="shared" si="26"/>
        <x:v>0</x:v>
      </x:c>
      <x:c r="G177" s="6"/>
      <x:c r="H177" s="299"/>
      <x:c r="I177" s="3" t="s">
        <x:v>1479</x:v>
      </x:c>
      <x:c r="J177" s="3" t="s">
        <x:v>520</x:v>
      </x:c>
      <x:c r="K177" s="4">
        <x:v>6000000</x:v>
      </x:c>
      <x:c r="L177" s="4">
        <x:f>+K177*0.1</x:f>
        <x:v>600000</x:v>
      </x:c>
      <x:c r="M177" s="5">
        <x:f t="shared" si="25"/>
        <x:v>6600000</x:v>
      </x:c>
      <x:c r="N177" s="6"/>
      <x:c r="V177" s="1"/>
    </x:row>
    <x:row r="178" spans="1:22" s="2" customFormat="1" ht="20.100000000000001" customHeight="1">
      <x:c r="A178" s="299"/>
      <x:c r="B178" s="3"/>
      <x:c r="C178" s="3"/>
      <x:c r="D178" s="4"/>
      <x:c r="E178" s="4"/>
      <x:c r="F178" s="5">
        <x:f t="shared" si="26"/>
        <x:v>0</x:v>
      </x:c>
      <x:c r="G178" s="6"/>
      <x:c r="H178" s="299"/>
      <x:c r="I178" s="3" t="s">
        <x:v>1205</x:v>
      </x:c>
      <x:c r="J178" s="3" t="s">
        <x:v>267</x:v>
      </x:c>
      <x:c r="K178" s="4">
        <x:v>21818</x:v>
      </x:c>
      <x:c r="L178" s="4">
        <x:v>2182</x:v>
      </x:c>
      <x:c r="M178" s="5">
        <x:f t="shared" si="25"/>
        <x:v>24000</x:v>
      </x:c>
      <x:c r="N178" s="6" t="s">
        <x:v>1620</x:v>
      </x:c>
      <x:c r="V178" s="1"/>
    </x:row>
    <x:row r="179" spans="1:22" s="2" customFormat="1" ht="20.100000000000001" customHeight="1">
      <x:c r="A179" s="299"/>
      <x:c r="B179" s="3"/>
      <x:c r="C179" s="3"/>
      <x:c r="D179" s="4"/>
      <x:c r="E179" s="4"/>
      <x:c r="F179" s="5">
        <x:f t="shared" si="26"/>
        <x:v>0</x:v>
      </x:c>
      <x:c r="G179" s="6"/>
      <x:c r="H179" s="299"/>
      <x:c r="I179" s="3"/>
      <x:c r="J179" s="3"/>
      <x:c r="K179" s="4"/>
      <x:c r="L179" s="4"/>
      <x:c r="M179" s="5">
        <x:f t="shared" si="25"/>
        <x:v>0</x:v>
      </x:c>
      <x:c r="N179" s="6"/>
      <x:c r="V179" s="1"/>
    </x:row>
    <x:row r="180" spans="1:22" s="2" customFormat="1" ht="20.100000000000001" customHeight="1">
      <x:c r="A180" s="300"/>
      <x:c r="B180" s="3"/>
      <x:c r="C180" s="3"/>
      <x:c r="D180" s="4"/>
      <x:c r="E180" s="4"/>
      <x:c r="F180" s="5">
        <x:f t="shared" si="26"/>
        <x:v>0</x:v>
      </x:c>
      <x:c r="G180" s="6"/>
      <x:c r="H180" s="300"/>
      <x:c r="I180" s="3"/>
      <x:c r="J180" s="3"/>
      <x:c r="K180" s="4"/>
      <x:c r="L180" s="4"/>
      <x:c r="M180" s="5">
        <x:f>+K180+L180</x:f>
        <x:v>0</x:v>
      </x:c>
      <x:c r="N180" s="6"/>
      <x:c r="V180" s="1"/>
    </x:row>
    <x:row r="181" spans="1:22" s="2" customFormat="1" ht="20.100000000000001" customHeight="1">
      <x:c r="A181" s="7" t="s">
        <x:v>155</x:v>
      </x:c>
      <x:c r="B181" s="8"/>
      <x:c r="C181" s="8"/>
      <x:c r="D181" s="9">
        <x:f>SUM(D171:D180)</x:f>
        <x:v>0</x:v>
      </x:c>
      <x:c r="E181" s="9">
        <x:f>SUM(E171:E180)</x:f>
        <x:v>0</x:v>
      </x:c>
      <x:c r="F181" s="10">
        <x:f>SUM(F171:F180)</x:f>
        <x:v>0</x:v>
      </x:c>
      <x:c r="G181" s="11"/>
      <x:c r="H181" s="7"/>
      <x:c r="I181" s="8"/>
      <x:c r="J181" s="8"/>
      <x:c r="K181" s="9">
        <x:f>SUM(K171:K180)</x:f>
        <x:v>9570098</x:v>
      </x:c>
      <x:c r="L181" s="9">
        <x:f>SUM(L171:L180)</x:f>
        <x:v>713982</x:v>
      </x:c>
      <x:c r="M181" s="10">
        <x:f>SUM(M171:M180)</x:f>
        <x:v>10284080</x:v>
      </x:c>
      <x:c r="N181" s="11"/>
      <x:c r="V181" s="1"/>
    </x:row>
    <x:row r="182" spans="1:22" s="2" customFormat="1" ht="20.100000000000001" customHeight="1">
      <x:c r="A182" s="12" t="s">
        <x:v>1690</x:v>
      </x:c>
      <x:c r="B182" s="13"/>
      <x:c r="C182" s="13"/>
      <x:c r="D182" s="14">
        <x:f>+D160+D165+D170+D181</x:f>
        <x:v>40328000</x:v>
      </x:c>
      <x:c r="E182" s="14">
        <x:f>+E160+E165+E170+E181</x:f>
        <x:v>2687800</x:v>
      </x:c>
      <x:c r="F182" s="15">
        <x:f>+F160+F165+F170+F181</x:f>
        <x:v>43015800</x:v>
      </x:c>
      <x:c r="G182" s="16"/>
      <x:c r="H182" s="12"/>
      <x:c r="I182" s="13"/>
      <x:c r="J182" s="13"/>
      <x:c r="K182" s="14">
        <x:f>+K160+K165+K170+K181</x:f>
        <x:v>61635115</x:v>
      </x:c>
      <x:c r="L182" s="14">
        <x:f>+L160+L165+L170+L181</x:f>
        <x:v>3901480.7000000002</x:v>
      </x:c>
      <x:c r="M182" s="15">
        <x:f>+M160+M165+M170+M181</x:f>
        <x:v>65536595.700000003</x:v>
      </x:c>
      <x:c r="N182" s="16"/>
      <x:c r="V182" s="1"/>
    </x:row>
    <x:row r="183" spans="1:22" s="2" customFormat="1" ht="20.100000000000001" customHeight="1">
      <x:c r="A183" s="23" t="s">
        <x:v>35</x:v>
      </x:c>
      <x:c r="B183" s="24"/>
      <x:c r="C183" s="24"/>
      <x:c r="D183" s="25">
        <x:f>+D143-D182</x:f>
        <x:v>4732000</x:v>
      </x:c>
      <x:c r="E183" s="25">
        <x:f>+E143-E182</x:f>
        <x:v>1818200</x:v>
      </x:c>
      <x:c r="F183" s="26">
        <x:f>+F143-F182</x:f>
        <x:v>6550200</x:v>
      </x:c>
      <x:c r="G183" s="27"/>
      <x:c r="H183" s="23"/>
      <x:c r="I183" s="24"/>
      <x:c r="J183" s="24"/>
      <x:c r="K183" s="25">
        <x:f>+K143-K182</x:f>
        <x:v>-61635115</x:v>
      </x:c>
      <x:c r="L183" s="25">
        <x:f>+L143-L182</x:f>
        <x:v>-3901480.7000000002</x:v>
      </x:c>
      <x:c r="M183" s="26">
        <x:f>+M143-M182</x:f>
        <x:v>-65536595.700000003</x:v>
      </x:c>
      <x:c r="N183" s="27"/>
      <x:c r="V183" s="1"/>
    </x:row>
    <x:row r="184" spans="1:22" s="2" customFormat="1" ht="20.100000000000001" customHeight="1">
      <x:c r="A184" s="302" t="s">
        <x:v>438</x:v>
      </x:c>
      <x:c r="B184" s="303"/>
      <x:c r="C184" s="303"/>
      <x:c r="D184" s="303"/>
      <x:c r="E184" s="303"/>
      <x:c r="F184" s="304"/>
      <x:c r="G184" s="305"/>
      <x:c r="H184" s="302" t="s">
        <x:v>560</x:v>
      </x:c>
      <x:c r="I184" s="303"/>
      <x:c r="J184" s="303"/>
      <x:c r="K184" s="303"/>
      <x:c r="L184" s="303"/>
      <x:c r="M184" s="304"/>
      <x:c r="N184" s="305"/>
      <x:c r="V184" s="1"/>
    </x:row>
    <x:row r="185" spans="1:22" s="2" customFormat="1" ht="20.100000000000001" customHeight="1">
      <x:c r="A185" s="29" t="s">
        <x:v>147</x:v>
      </x:c>
      <x:c r="B185" s="236" t="s">
        <x:v>144</x:v>
      </x:c>
      <x:c r="C185" s="236" t="s">
        <x:v>150</x:v>
      </x:c>
      <x:c r="D185" s="31" t="s">
        <x:v>145</x:v>
      </x:c>
      <x:c r="E185" s="31" t="s">
        <x:v>152</x:v>
      </x:c>
      <x:c r="F185" s="32" t="s">
        <x:v>146</x:v>
      </x:c>
      <x:c r="G185" s="33" t="s">
        <x:v>154</x:v>
      </x:c>
      <x:c r="H185" s="29" t="s">
        <x:v>147</x:v>
      </x:c>
      <x:c r="I185" s="236" t="s">
        <x:v>144</x:v>
      </x:c>
      <x:c r="J185" s="236" t="s">
        <x:v>150</x:v>
      </x:c>
      <x:c r="K185" s="31" t="s">
        <x:v>145</x:v>
      </x:c>
      <x:c r="L185" s="31" t="s">
        <x:v>152</x:v>
      </x:c>
      <x:c r="M185" s="31" t="s">
        <x:v>146</x:v>
      </x:c>
      <x:c r="N185" s="34" t="s">
        <x:v>154</x:v>
      </x:c>
      <x:c r="V185" s="1"/>
    </x:row>
    <x:row r="186" spans="1:22" s="2" customFormat="1" ht="20.100000000000001" customHeight="1">
      <x:c r="A186" s="235" t="s">
        <x:v>151</x:v>
      </x:c>
      <x:c r="B186" s="38" t="s">
        <x:v>1679</x:v>
      </x:c>
      <x:c r="C186" s="38" t="s">
        <x:v>1030</x:v>
      </x:c>
      <x:c r="D186" s="39">
        <x:v>48700000</x:v>
      </x:c>
      <x:c r="E186" s="39">
        <x:f>+D186*0.1</x:f>
        <x:v>4870000</x:v>
      </x:c>
      <x:c r="F186" s="40">
        <x:f t="shared" ref="F186:F202" si="27">+D186+E186</x:f>
        <x:v>53570000</x:v>
      </x:c>
      <x:c r="G186" s="18"/>
      <x:c r="H186" s="41" t="s">
        <x:v>151</x:v>
      </x:c>
      <x:c r="I186" s="38" t="s">
        <x:v>1679</x:v>
      </x:c>
      <x:c r="J186" s="38" t="s">
        <x:v>156</x:v>
      </x:c>
      <x:c r="K186" s="39"/>
      <x:c r="L186" s="39"/>
      <x:c r="M186" s="40">
        <x:f>+K186+L186</x:f>
        <x:v>0</x:v>
      </x:c>
      <x:c r="N186" s="42"/>
      <x:c r="V186" s="1"/>
    </x:row>
    <x:row r="187" spans="1:22" s="2" customFormat="1" ht="20.100000000000001" customHeight="1">
      <x:c r="A187" s="298" t="s">
        <x:v>148</x:v>
      </x:c>
      <x:c r="B187" s="19" t="s">
        <x:v>1498</x:v>
      </x:c>
      <x:c r="C187" s="19"/>
      <x:c r="D187" s="20"/>
      <x:c r="E187" s="20"/>
      <x:c r="F187" s="21">
        <x:f t="shared" si="27"/>
        <x:v>0</x:v>
      </x:c>
      <x:c r="G187" s="95"/>
      <x:c r="H187" s="298" t="s">
        <x:v>148</x:v>
      </x:c>
      <x:c r="I187" s="19"/>
      <x:c r="J187" s="19"/>
      <x:c r="K187" s="20"/>
      <x:c r="L187" s="20">
        <x:f>+K187*0.1</x:f>
        <x:v>0</x:v>
      </x:c>
      <x:c r="M187" s="21">
        <x:f t="shared" ref="M187:M202" si="28">+K187+L187</x:f>
        <x:v>0</x:v>
      </x:c>
      <x:c r="N187" s="22"/>
      <x:c r="V187" s="1"/>
    </x:row>
    <x:row r="188" spans="1:22" s="2" customFormat="1" ht="20.100000000000001" customHeight="1">
      <x:c r="A188" s="299"/>
      <x:c r="B188" s="3" t="s">
        <x:v>1541</x:v>
      </x:c>
      <x:c r="C188" s="3" t="s">
        <x:v>562</x:v>
      </x:c>
      <x:c r="D188" s="4">
        <x:v>1240000</x:v>
      </x:c>
      <x:c r="E188" s="4">
        <x:f>+D188*0.1</x:f>
        <x:v>124000</x:v>
      </x:c>
      <x:c r="F188" s="5">
        <x:f t="shared" si="27"/>
        <x:v>1364000</x:v>
      </x:c>
      <x:c r="G188" s="180"/>
      <x:c r="H188" s="299"/>
      <x:c r="I188" s="3"/>
      <x:c r="J188" s="3"/>
      <x:c r="K188" s="4"/>
      <x:c r="L188" s="4"/>
      <x:c r="M188" s="5">
        <x:f t="shared" si="28"/>
        <x:v>0</x:v>
      </x:c>
      <x:c r="N188" s="6"/>
      <x:c r="V188" s="1"/>
    </x:row>
    <x:row r="189" spans="1:22" s="2" customFormat="1" ht="20.100000000000001" customHeight="1">
      <x:c r="A189" s="299"/>
      <x:c r="B189" s="3" t="s">
        <x:v>854</x:v>
      </x:c>
      <x:c r="C189" s="3" t="s">
        <x:v>765</x:v>
      </x:c>
      <x:c r="D189" s="4">
        <x:v>205430</x:v>
      </x:c>
      <x:c r="E189" s="4">
        <x:f>+D189*0.1</x:f>
        <x:v>20543</x:v>
      </x:c>
      <x:c r="F189" s="5">
        <x:f t="shared" si="27"/>
        <x:v>225973</x:v>
      </x:c>
      <x:c r="G189" s="180"/>
      <x:c r="H189" s="299"/>
      <x:c r="I189" s="3"/>
      <x:c r="J189" s="3"/>
      <x:c r="K189" s="4"/>
      <x:c r="L189" s="4">
        <x:f>+K189*0.1</x:f>
        <x:v>0</x:v>
      </x:c>
      <x:c r="M189" s="5">
        <x:f t="shared" si="28"/>
        <x:v>0</x:v>
      </x:c>
      <x:c r="N189" s="6"/>
      <x:c r="V189" s="1"/>
    </x:row>
    <x:row r="190" spans="1:22" s="2" customFormat="1" ht="20.100000000000001" customHeight="1">
      <x:c r="A190" s="299"/>
      <x:c r="B190" s="3" t="s">
        <x:v>867</x:v>
      </x:c>
      <x:c r="C190" s="3"/>
      <x:c r="D190" s="4"/>
      <x:c r="E190" s="4"/>
      <x:c r="F190" s="5">
        <x:f t="shared" si="27"/>
        <x:v>0</x:v>
      </x:c>
      <x:c r="G190" s="180"/>
      <x:c r="H190" s="299"/>
      <x:c r="I190" s="3"/>
      <x:c r="J190" s="3"/>
      <x:c r="K190" s="4"/>
      <x:c r="L190" s="4">
        <x:f>+K190*0.1</x:f>
        <x:v>0</x:v>
      </x:c>
      <x:c r="M190" s="5">
        <x:f t="shared" si="28"/>
        <x:v>0</x:v>
      </x:c>
      <x:c r="N190" s="6"/>
      <x:c r="V190" s="1"/>
    </x:row>
    <x:row r="191" spans="1:22" s="2" customFormat="1" ht="20.100000000000001" customHeight="1">
      <x:c r="A191" s="299"/>
      <x:c r="B191" s="3" t="s">
        <x:v>976</x:v>
      </x:c>
      <x:c r="C191" s="3"/>
      <x:c r="D191" s="4"/>
      <x:c r="E191" s="4">
        <x:f>+D191*0.1</x:f>
        <x:v>0</x:v>
      </x:c>
      <x:c r="F191" s="5">
        <x:f t="shared" si="27"/>
        <x:v>0</x:v>
      </x:c>
      <x:c r="G191" s="180"/>
      <x:c r="H191" s="299"/>
      <x:c r="I191" s="3"/>
      <x:c r="J191" s="3"/>
      <x:c r="K191" s="4"/>
      <x:c r="L191" s="4">
        <x:f>+K191*0.1</x:f>
        <x:v>0</x:v>
      </x:c>
      <x:c r="M191" s="5">
        <x:f t="shared" si="28"/>
        <x:v>0</x:v>
      </x:c>
      <x:c r="N191" s="6"/>
      <x:c r="V191" s="1"/>
    </x:row>
    <x:row r="192" spans="1:22" s="2" customFormat="1" ht="20.100000000000001" customHeight="1">
      <x:c r="A192" s="299"/>
      <x:c r="B192" s="3" t="s">
        <x:v>938</x:v>
      </x:c>
      <x:c r="C192" s="3"/>
      <x:c r="D192" s="4"/>
      <x:c r="E192" s="4"/>
      <x:c r="F192" s="5">
        <x:f t="shared" si="27"/>
        <x:v>0</x:v>
      </x:c>
      <x:c r="G192" s="180"/>
      <x:c r="H192" s="299"/>
      <x:c r="I192" s="3"/>
      <x:c r="J192" s="3"/>
      <x:c r="K192" s="4"/>
      <x:c r="L192" s="4">
        <x:f t="shared" ref="L192:L202" si="29">+K192*0.1</x:f>
        <x:v>0</x:v>
      </x:c>
      <x:c r="M192" s="5">
        <x:f t="shared" si="28"/>
        <x:v>0</x:v>
      </x:c>
      <x:c r="N192" s="6"/>
      <x:c r="V192" s="1"/>
    </x:row>
    <x:row r="193" spans="1:22" s="2" customFormat="1" ht="20.100000000000001" customHeight="1">
      <x:c r="A193" s="299"/>
      <x:c r="B193" s="3" t="s">
        <x:v>838</x:v>
      </x:c>
      <x:c r="C193" s="3"/>
      <x:c r="D193" s="4"/>
      <x:c r="E193" s="4"/>
      <x:c r="F193" s="5">
        <x:f t="shared" si="27"/>
        <x:v>0</x:v>
      </x:c>
      <x:c r="G193" s="6"/>
      <x:c r="H193" s="299"/>
      <x:c r="I193" s="3"/>
      <x:c r="J193" s="3"/>
      <x:c r="K193" s="4"/>
      <x:c r="L193" s="4">
        <x:f t="shared" si="29"/>
        <x:v>0</x:v>
      </x:c>
      <x:c r="M193" s="5">
        <x:f t="shared" si="28"/>
        <x:v>0</x:v>
      </x:c>
      <x:c r="N193" s="6"/>
      <x:c r="V193" s="1"/>
    </x:row>
    <x:row r="194" spans="1:22" s="2" customFormat="1" ht="20.100000000000001" customHeight="1">
      <x:c r="A194" s="299"/>
      <x:c r="B194" s="3" t="s">
        <x:v>1378</x:v>
      </x:c>
      <x:c r="C194" s="3" t="s">
        <x:v>1622</x:v>
      </x:c>
      <x:c r="D194" s="4">
        <x:v>15500</x:v>
      </x:c>
      <x:c r="E194" s="4">
        <x:f>+D194*0.1</x:f>
        <x:v>1550</x:v>
      </x:c>
      <x:c r="F194" s="5">
        <x:f t="shared" si="27"/>
        <x:v>17050</x:v>
      </x:c>
      <x:c r="G194" s="180"/>
      <x:c r="H194" s="299"/>
      <x:c r="I194" s="3"/>
      <x:c r="J194" s="3"/>
      <x:c r="K194" s="4"/>
      <x:c r="L194" s="4">
        <x:f t="shared" si="29"/>
        <x:v>0</x:v>
      </x:c>
      <x:c r="M194" s="5">
        <x:f t="shared" si="28"/>
        <x:v>0</x:v>
      </x:c>
      <x:c r="N194" s="6"/>
      <x:c r="V194" s="1"/>
    </x:row>
    <x:row r="195" spans="1:22" s="2" customFormat="1" ht="20.100000000000001" customHeight="1">
      <x:c r="A195" s="299"/>
      <x:c r="B195" s="3" t="s">
        <x:v>1033</x:v>
      </x:c>
      <x:c r="C195" s="3"/>
      <x:c r="D195" s="4"/>
      <x:c r="E195" s="4"/>
      <x:c r="F195" s="5">
        <x:f t="shared" si="27"/>
        <x:v>0</x:v>
      </x:c>
      <x:c r="G195" s="180"/>
      <x:c r="H195" s="299"/>
      <x:c r="I195" s="3"/>
      <x:c r="J195" s="3"/>
      <x:c r="K195" s="4"/>
      <x:c r="L195" s="4">
        <x:f t="shared" si="29"/>
        <x:v>0</x:v>
      </x:c>
      <x:c r="M195" s="5">
        <x:f t="shared" si="28"/>
        <x:v>0</x:v>
      </x:c>
      <x:c r="N195" s="6"/>
      <x:c r="V195" s="1"/>
    </x:row>
    <x:row r="196" spans="1:22" s="2" customFormat="1" ht="20.100000000000001" customHeight="1">
      <x:c r="A196" s="299"/>
      <x:c r="B196" s="3" t="s">
        <x:v>846</x:v>
      </x:c>
      <x:c r="C196" s="3"/>
      <x:c r="D196" s="4"/>
      <x:c r="E196" s="4"/>
      <x:c r="F196" s="5">
        <x:f t="shared" si="27"/>
        <x:v>0</x:v>
      </x:c>
      <x:c r="G196" s="180"/>
      <x:c r="H196" s="299"/>
      <x:c r="I196" s="3"/>
      <x:c r="J196" s="3"/>
      <x:c r="K196" s="4"/>
      <x:c r="L196" s="4">
        <x:f t="shared" si="29"/>
        <x:v>0</x:v>
      </x:c>
      <x:c r="M196" s="5">
        <x:f t="shared" si="28"/>
        <x:v>0</x:v>
      </x:c>
      <x:c r="N196" s="6"/>
      <x:c r="V196" s="1"/>
    </x:row>
    <x:row r="197" spans="1:22" s="2" customFormat="1" ht="20.100000000000001" customHeight="1">
      <x:c r="A197" s="299"/>
      <x:c r="B197" s="3" t="s">
        <x:v>1606</x:v>
      </x:c>
      <x:c r="C197" s="3" t="s">
        <x:v>1112</x:v>
      </x:c>
      <x:c r="D197" s="4">
        <x:v>6500000</x:v>
      </x:c>
      <x:c r="E197" s="4">
        <x:f>+D197*0.1</x:f>
        <x:v>650000</x:v>
      </x:c>
      <x:c r="F197" s="5">
        <x:f t="shared" si="27"/>
        <x:v>7150000</x:v>
      </x:c>
      <x:c r="G197" s="6"/>
      <x:c r="H197" s="299"/>
      <x:c r="I197" s="3"/>
      <x:c r="J197" s="3"/>
      <x:c r="K197" s="4"/>
      <x:c r="L197" s="4">
        <x:f t="shared" si="29"/>
        <x:v>0</x:v>
      </x:c>
      <x:c r="M197" s="5">
        <x:f t="shared" si="28"/>
        <x:v>0</x:v>
      </x:c>
      <x:c r="N197" s="6"/>
      <x:c r="V197" s="1"/>
    </x:row>
    <x:row r="198" spans="1:22" s="2" customFormat="1" ht="20.100000000000001" customHeight="1">
      <x:c r="A198" s="299"/>
      <x:c r="B198" s="3"/>
      <x:c r="C198" s="3"/>
      <x:c r="D198" s="4"/>
      <x:c r="E198" s="4"/>
      <x:c r="F198" s="5">
        <x:f t="shared" si="27"/>
        <x:v>0</x:v>
      </x:c>
      <x:c r="G198" s="6"/>
      <x:c r="H198" s="299"/>
      <x:c r="I198" s="3"/>
      <x:c r="J198" s="3"/>
      <x:c r="K198" s="4"/>
      <x:c r="L198" s="4">
        <x:f t="shared" si="29"/>
        <x:v>0</x:v>
      </x:c>
      <x:c r="M198" s="5">
        <x:f t="shared" si="28"/>
        <x:v>0</x:v>
      </x:c>
      <x:c r="N198" s="6"/>
      <x:c r="V198" s="1"/>
    </x:row>
    <x:row r="199" spans="1:22" s="2" customFormat="1" ht="20.100000000000001" customHeight="1">
      <x:c r="A199" s="299"/>
      <x:c r="B199" s="3"/>
      <x:c r="C199" s="3"/>
      <x:c r="D199" s="4"/>
      <x:c r="E199" s="4"/>
      <x:c r="F199" s="5">
        <x:f t="shared" si="27"/>
        <x:v>0</x:v>
      </x:c>
      <x:c r="G199" s="6"/>
      <x:c r="H199" s="299"/>
      <x:c r="I199" s="3"/>
      <x:c r="J199" s="3"/>
      <x:c r="K199" s="4"/>
      <x:c r="L199" s="4">
        <x:f t="shared" si="29"/>
        <x:v>0</x:v>
      </x:c>
      <x:c r="M199" s="5">
        <x:f t="shared" si="28"/>
        <x:v>0</x:v>
      </x:c>
      <x:c r="N199" s="6"/>
      <x:c r="V199" s="1"/>
    </x:row>
    <x:row r="200" spans="1:22" s="2" customFormat="1" ht="20.100000000000001" customHeight="1">
      <x:c r="A200" s="299"/>
      <x:c r="B200" s="3"/>
      <x:c r="C200" s="3"/>
      <x:c r="D200" s="4"/>
      <x:c r="E200" s="4"/>
      <x:c r="F200" s="5">
        <x:f t="shared" si="27"/>
        <x:v>0</x:v>
      </x:c>
      <x:c r="G200" s="6"/>
      <x:c r="H200" s="299"/>
      <x:c r="I200" s="3"/>
      <x:c r="J200" s="3"/>
      <x:c r="K200" s="4"/>
      <x:c r="L200" s="4">
        <x:f t="shared" si="29"/>
        <x:v>0</x:v>
      </x:c>
      <x:c r="M200" s="5">
        <x:f t="shared" si="28"/>
        <x:v>0</x:v>
      </x:c>
      <x:c r="N200" s="6"/>
      <x:c r="V200" s="1"/>
    </x:row>
    <x:row r="201" spans="1:22" s="2" customFormat="1" ht="20.100000000000001" customHeight="1">
      <x:c r="A201" s="299"/>
      <x:c r="B201" s="3"/>
      <x:c r="C201" s="3"/>
      <x:c r="D201" s="4"/>
      <x:c r="E201" s="4"/>
      <x:c r="F201" s="5">
        <x:f t="shared" si="27"/>
        <x:v>0</x:v>
      </x:c>
      <x:c r="G201" s="6"/>
      <x:c r="H201" s="299"/>
      <x:c r="I201" s="3"/>
      <x:c r="J201" s="3"/>
      <x:c r="K201" s="4"/>
      <x:c r="L201" s="4">
        <x:f t="shared" si="29"/>
        <x:v>0</x:v>
      </x:c>
      <x:c r="M201" s="5">
        <x:f t="shared" si="28"/>
        <x:v>0</x:v>
      </x:c>
      <x:c r="N201" s="6"/>
      <x:c r="V201" s="1"/>
    </x:row>
    <x:row r="202" spans="1:22" s="2" customFormat="1" ht="20.100000000000001" customHeight="1">
      <x:c r="A202" s="300"/>
      <x:c r="B202" s="3"/>
      <x:c r="C202" s="3"/>
      <x:c r="D202" s="4"/>
      <x:c r="E202" s="4"/>
      <x:c r="F202" s="5">
        <x:f t="shared" si="27"/>
        <x:v>0</x:v>
      </x:c>
      <x:c r="G202" s="6"/>
      <x:c r="H202" s="300"/>
      <x:c r="I202" s="3"/>
      <x:c r="J202" s="3"/>
      <x:c r="K202" s="4"/>
      <x:c r="L202" s="4">
        <x:f t="shared" si="29"/>
        <x:v>0</x:v>
      </x:c>
      <x:c r="M202" s="5">
        <x:f t="shared" si="28"/>
        <x:v>0</x:v>
      </x:c>
      <x:c r="N202" s="6"/>
      <x:c r="V202" s="1"/>
    </x:row>
    <x:row r="203" spans="1:22" s="2" customFormat="1" ht="20.100000000000001" customHeight="1">
      <x:c r="A203" s="7" t="s">
        <x:v>155</x:v>
      </x:c>
      <x:c r="B203" s="8"/>
      <x:c r="C203" s="8"/>
      <x:c r="D203" s="9">
        <x:f>SUM(D187:D202)</x:f>
        <x:v>7960930</x:v>
      </x:c>
      <x:c r="E203" s="9">
        <x:f>SUM(E187:E202)</x:f>
        <x:v>796093</x:v>
      </x:c>
      <x:c r="F203" s="10">
        <x:f>SUM(F187:F202)</x:f>
        <x:v>8757023</x:v>
      </x:c>
      <x:c r="G203" s="11"/>
      <x:c r="H203" s="7"/>
      <x:c r="I203" s="8"/>
      <x:c r="J203" s="8"/>
      <x:c r="K203" s="9">
        <x:f>SUM(K187:K202)</x:f>
        <x:v>0</x:v>
      </x:c>
      <x:c r="L203" s="9">
        <x:f>SUM(L187:L202)</x:f>
        <x:v>0</x:v>
      </x:c>
      <x:c r="M203" s="10">
        <x:f>SUM(M187:M202)</x:f>
        <x:v>0</x:v>
      </x:c>
      <x:c r="N203" s="11"/>
      <x:c r="V203" s="1"/>
    </x:row>
    <x:row r="204" spans="1:22" s="2" customFormat="1" ht="20.100000000000001" customHeight="1">
      <x:c r="A204" s="301" t="s">
        <x:v>153</x:v>
      </x:c>
      <x:c r="B204" s="3" t="s">
        <x:v>1677</x:v>
      </x:c>
      <x:c r="C204" s="3" t="s">
        <x:v>1494</x:v>
      </x:c>
      <x:c r="D204" s="4">
        <x:v>5640000</x:v>
      </x:c>
      <x:c r="E204" s="4"/>
      <x:c r="F204" s="5">
        <x:f>+D204+E204</x:f>
        <x:v>5640000</x:v>
      </x:c>
      <x:c r="G204" s="180"/>
      <x:c r="H204" s="301" t="s">
        <x:v>153</x:v>
      </x:c>
      <x:c r="I204" s="3" t="s">
        <x:v>1677</x:v>
      </x:c>
      <x:c r="J204" s="3"/>
      <x:c r="K204" s="4"/>
      <x:c r="L204" s="4"/>
      <x:c r="M204" s="5">
        <x:f>+K204+L204</x:f>
        <x:v>0</x:v>
      </x:c>
      <x:c r="N204" s="6"/>
      <x:c r="V204" s="1"/>
    </x:row>
    <x:row r="205" spans="1:22" s="2" customFormat="1" ht="20.100000000000001" customHeight="1">
      <x:c r="A205" s="299"/>
      <x:c r="B205" s="3"/>
      <x:c r="C205" s="3"/>
      <x:c r="D205" s="4"/>
      <x:c r="E205" s="4"/>
      <x:c r="F205" s="5">
        <x:f>+D205+E205</x:f>
        <x:v>0</x:v>
      </x:c>
      <x:c r="G205" s="37"/>
      <x:c r="H205" s="299"/>
      <x:c r="I205" s="3"/>
      <x:c r="J205" s="3"/>
      <x:c r="K205" s="4"/>
      <x:c r="L205" s="4">
        <x:f>+K205*0.1</x:f>
        <x:v>0</x:v>
      </x:c>
      <x:c r="M205" s="5">
        <x:f>+K205+L205</x:f>
        <x:v>0</x:v>
      </x:c>
      <x:c r="N205" s="6"/>
      <x:c r="V205" s="1"/>
    </x:row>
    <x:row r="206" spans="1:22" s="2" customFormat="1" ht="20.100000000000001" customHeight="1">
      <x:c r="A206" s="299"/>
      <x:c r="B206" s="3"/>
      <x:c r="C206" s="3"/>
      <x:c r="D206" s="4"/>
      <x:c r="E206" s="4"/>
      <x:c r="F206" s="5">
        <x:f>+D206+E206</x:f>
        <x:v>0</x:v>
      </x:c>
      <x:c r="G206" s="6"/>
      <x:c r="H206" s="299"/>
      <x:c r="I206" s="3"/>
      <x:c r="J206" s="3"/>
      <x:c r="K206" s="4"/>
      <x:c r="L206" s="4">
        <x:f>+K206*0.1</x:f>
        <x:v>0</x:v>
      </x:c>
      <x:c r="M206" s="5">
        <x:f>+K206+L206</x:f>
        <x:v>0</x:v>
      </x:c>
      <x:c r="N206" s="6"/>
      <x:c r="V206" s="1"/>
    </x:row>
    <x:row r="207" spans="1:22" s="2" customFormat="1" ht="20.100000000000001" customHeight="1">
      <x:c r="A207" s="300"/>
      <x:c r="B207" s="3"/>
      <x:c r="C207" s="3"/>
      <x:c r="D207" s="4"/>
      <x:c r="E207" s="4"/>
      <x:c r="F207" s="5">
        <x:f>+D207+E207</x:f>
        <x:v>0</x:v>
      </x:c>
      <x:c r="G207" s="6"/>
      <x:c r="H207" s="300"/>
      <x:c r="I207" s="3"/>
      <x:c r="J207" s="3"/>
      <x:c r="K207" s="4"/>
      <x:c r="L207" s="4">
        <x:f>+K207*0.1</x:f>
        <x:v>0</x:v>
      </x:c>
      <x:c r="M207" s="5">
        <x:f>+K207+L207</x:f>
        <x:v>0</x:v>
      </x:c>
      <x:c r="N207" s="6"/>
      <x:c r="V207" s="1"/>
    </x:row>
    <x:row r="208" spans="1:22" s="2" customFormat="1" ht="20.100000000000001" customHeight="1">
      <x:c r="A208" s="7" t="s">
        <x:v>155</x:v>
      </x:c>
      <x:c r="B208" s="8"/>
      <x:c r="C208" s="8"/>
      <x:c r="D208" s="9">
        <x:f>SUM(D204:D207)</x:f>
        <x:v>5640000</x:v>
      </x:c>
      <x:c r="E208" s="9">
        <x:f>SUM(E204:E207)</x:f>
        <x:v>0</x:v>
      </x:c>
      <x:c r="F208" s="10">
        <x:f>SUM(F204:F207)</x:f>
        <x:v>5640000</x:v>
      </x:c>
      <x:c r="G208" s="11"/>
      <x:c r="H208" s="7"/>
      <x:c r="I208" s="8"/>
      <x:c r="J208" s="8"/>
      <x:c r="K208" s="9">
        <x:f>SUM(K204:K207)</x:f>
        <x:v>0</x:v>
      </x:c>
      <x:c r="L208" s="9">
        <x:f>SUM(L204:L207)</x:f>
        <x:v>0</x:v>
      </x:c>
      <x:c r="M208" s="10">
        <x:f>SUM(M204:M207)</x:f>
        <x:v>0</x:v>
      </x:c>
      <x:c r="N208" s="11"/>
      <x:c r="V208" s="1"/>
    </x:row>
    <x:row r="209" spans="1:22" s="2" customFormat="1" ht="20.100000000000001" customHeight="1">
      <x:c r="A209" s="301" t="s">
        <x:v>187</x:v>
      </x:c>
      <x:c r="B209" s="3" t="s">
        <x:v>1124</x:v>
      </x:c>
      <x:c r="C209" s="3" t="s">
        <x:v>1006</x:v>
      </x:c>
      <x:c r="D209" s="4"/>
      <x:c r="E209" s="4"/>
      <x:c r="F209" s="5">
        <x:f>+D209+E209</x:f>
        <x:v>0</x:v>
      </x:c>
      <x:c r="G209" s="180"/>
      <x:c r="H209" s="301" t="s">
        <x:v>187</x:v>
      </x:c>
      <x:c r="I209" s="3"/>
      <x:c r="J209" s="3"/>
      <x:c r="K209" s="4"/>
      <x:c r="L209" s="4">
        <x:f>+K209*0.1</x:f>
        <x:v>0</x:v>
      </x:c>
      <x:c r="M209" s="5">
        <x:f>+K209+L209</x:f>
        <x:v>0</x:v>
      </x:c>
      <x:c r="N209" s="6"/>
      <x:c r="V209" s="1"/>
    </x:row>
    <x:row r="210" spans="1:22" s="2" customFormat="1" ht="20.100000000000001" customHeight="1">
      <x:c r="A210" s="299"/>
      <x:c r="B210" s="3"/>
      <x:c r="C210" s="3"/>
      <x:c r="D210" s="4"/>
      <x:c r="E210" s="4"/>
      <x:c r="F210" s="5">
        <x:f>+D210+E210</x:f>
        <x:v>0</x:v>
      </x:c>
      <x:c r="G210" s="180"/>
      <x:c r="H210" s="299"/>
      <x:c r="I210" s="3"/>
      <x:c r="J210" s="3"/>
      <x:c r="K210" s="4"/>
      <x:c r="L210" s="4">
        <x:f>+K210*0.1</x:f>
        <x:v>0</x:v>
      </x:c>
      <x:c r="M210" s="5">
        <x:f>+K210+L210</x:f>
        <x:v>0</x:v>
      </x:c>
      <x:c r="N210" s="6"/>
      <x:c r="V210" s="1"/>
    </x:row>
    <x:row r="211" spans="1:22" s="2" customFormat="1" ht="20.100000000000001" customHeight="1">
      <x:c r="A211" s="299"/>
      <x:c r="B211" s="3"/>
      <x:c r="C211" s="3"/>
      <x:c r="D211" s="4"/>
      <x:c r="E211" s="4"/>
      <x:c r="F211" s="5">
        <x:f>+D211+E211</x:f>
        <x:v>0</x:v>
      </x:c>
      <x:c r="G211" s="180"/>
      <x:c r="H211" s="299"/>
      <x:c r="I211" s="3"/>
      <x:c r="J211" s="3"/>
      <x:c r="K211" s="4"/>
      <x:c r="L211" s="4">
        <x:f>+K211*0.1</x:f>
        <x:v>0</x:v>
      </x:c>
      <x:c r="M211" s="5">
        <x:f>+K211+L211</x:f>
        <x:v>0</x:v>
      </x:c>
      <x:c r="N211" s="6"/>
      <x:c r="V211" s="1"/>
    </x:row>
    <x:row r="212" spans="1:22" s="2" customFormat="1" ht="20.100000000000001" customHeight="1">
      <x:c r="A212" s="300"/>
      <x:c r="B212" s="3"/>
      <x:c r="C212" s="3"/>
      <x:c r="D212" s="4"/>
      <x:c r="E212" s="4"/>
      <x:c r="F212" s="5">
        <x:f>+D212+E212</x:f>
        <x:v>0</x:v>
      </x:c>
      <x:c r="G212" s="6"/>
      <x:c r="H212" s="300"/>
      <x:c r="I212" s="3"/>
      <x:c r="J212" s="3"/>
      <x:c r="K212" s="4"/>
      <x:c r="L212" s="4">
        <x:f>+K212*0.1</x:f>
        <x:v>0</x:v>
      </x:c>
      <x:c r="M212" s="5">
        <x:f>+K212+L212</x:f>
        <x:v>0</x:v>
      </x:c>
      <x:c r="N212" s="6"/>
      <x:c r="V212" s="1"/>
    </x:row>
    <x:row r="213" spans="1:22" s="2" customFormat="1" ht="20.100000000000001" customHeight="1">
      <x:c r="A213" s="7" t="s">
        <x:v>155</x:v>
      </x:c>
      <x:c r="B213" s="8"/>
      <x:c r="C213" s="8"/>
      <x:c r="D213" s="9">
        <x:f>SUM(D209:D212)</x:f>
        <x:v>0</x:v>
      </x:c>
      <x:c r="E213" s="9">
        <x:f>SUM(E209:E212)</x:f>
        <x:v>0</x:v>
      </x:c>
      <x:c r="F213" s="10">
        <x:f>SUM(F209:F212)</x:f>
        <x:v>0</x:v>
      </x:c>
      <x:c r="G213" s="11"/>
      <x:c r="H213" s="7"/>
      <x:c r="I213" s="8"/>
      <x:c r="J213" s="8"/>
      <x:c r="K213" s="9">
        <x:f>SUM(K209:K212)</x:f>
        <x:v>0</x:v>
      </x:c>
      <x:c r="L213" s="9">
        <x:f>SUM(L209:L212)</x:f>
        <x:v>0</x:v>
      </x:c>
      <x:c r="M213" s="10">
        <x:f>SUM(M209:M212)</x:f>
        <x:v>0</x:v>
      </x:c>
      <x:c r="N213" s="11"/>
      <x:c r="V213" s="1"/>
    </x:row>
    <x:row r="214" spans="1:22" s="2" customFormat="1" ht="20.100000000000001" customHeight="1">
      <x:c r="A214" s="301" t="s">
        <x:v>149</x:v>
      </x:c>
      <x:c r="B214" s="3" t="s">
        <x:v>309</x:v>
      </x:c>
      <x:c r="C214" s="3" t="s">
        <x:v>149</x:v>
      </x:c>
      <x:c r="D214" s="4">
        <x:v>489410</x:v>
      </x:c>
      <x:c r="E214" s="4"/>
      <x:c r="F214" s="5">
        <x:f t="shared" ref="F214:F221" si="30">+D214+E214</x:f>
        <x:v>489410</x:v>
      </x:c>
      <x:c r="G214" s="229"/>
      <x:c r="H214" s="301" t="s">
        <x:v>149</x:v>
      </x:c>
      <x:c r="I214" s="3"/>
      <x:c r="J214" s="3" t="s">
        <x:v>149</x:v>
      </x:c>
      <x:c r="K214" s="4"/>
      <x:c r="L214" s="4"/>
      <x:c r="M214" s="5">
        <x:f t="shared" ref="M214:M221" si="31">+K214+L214</x:f>
        <x:v>0</x:v>
      </x:c>
      <x:c r="N214" s="6"/>
      <x:c r="V214" s="1"/>
    </x:row>
    <x:row r="215" spans="1:22" s="2" customFormat="1" ht="20.100000000000001" customHeight="1">
      <x:c r="A215" s="299"/>
      <x:c r="B215" s="3"/>
      <x:c r="C215" s="3"/>
      <x:c r="D215" s="4"/>
      <x:c r="E215" s="4"/>
      <x:c r="F215" s="5">
        <x:f t="shared" si="30"/>
        <x:v>0</x:v>
      </x:c>
      <x:c r="G215" s="6"/>
      <x:c r="H215" s="299"/>
      <x:c r="I215" s="3" t="s">
        <x:v>1341</x:v>
      </x:c>
      <x:c r="J215" s="3" t="s">
        <x:v>1496</x:v>
      </x:c>
      <x:c r="K215" s="4"/>
      <x:c r="L215" s="4">
        <x:f>+K215*0.1</x:f>
        <x:v>0</x:v>
      </x:c>
      <x:c r="M215" s="5">
        <x:f t="shared" si="31"/>
        <x:v>0</x:v>
      </x:c>
      <x:c r="N215" s="6"/>
      <x:c r="V215" s="1"/>
    </x:row>
    <x:row r="216" spans="1:22" s="2" customFormat="1" ht="20.100000000000001" customHeight="1">
      <x:c r="A216" s="299"/>
      <x:c r="B216" s="3"/>
      <x:c r="C216" s="3"/>
      <x:c r="D216" s="4"/>
      <x:c r="E216" s="4"/>
      <x:c r="F216" s="5">
        <x:f t="shared" si="30"/>
        <x:v>0</x:v>
      </x:c>
      <x:c r="G216" s="6"/>
      <x:c r="H216" s="299"/>
      <x:c r="I216" s="3"/>
      <x:c r="J216" s="3"/>
      <x:c r="K216" s="4"/>
      <x:c r="L216" s="4"/>
      <x:c r="M216" s="5">
        <x:f t="shared" si="31"/>
        <x:v>0</x:v>
      </x:c>
      <x:c r="N216" s="6"/>
      <x:c r="V216" s="1"/>
    </x:row>
    <x:row r="217" spans="1:22" s="2" customFormat="1" ht="20.100000000000001" customHeight="1">
      <x:c r="A217" s="299"/>
      <x:c r="B217" s="3"/>
      <x:c r="C217" s="3"/>
      <x:c r="D217" s="4"/>
      <x:c r="E217" s="4"/>
      <x:c r="F217" s="5">
        <x:f t="shared" si="30"/>
        <x:v>0</x:v>
      </x:c>
      <x:c r="G217" s="6"/>
      <x:c r="H217" s="299"/>
      <x:c r="I217" s="3"/>
      <x:c r="J217" s="3"/>
      <x:c r="K217" s="4"/>
      <x:c r="L217" s="4">
        <x:f>+K217*0.1</x:f>
        <x:v>0</x:v>
      </x:c>
      <x:c r="M217" s="5">
        <x:f t="shared" si="31"/>
        <x:v>0</x:v>
      </x:c>
      <x:c r="N217" s="6"/>
      <x:c r="V217" s="1"/>
    </x:row>
    <x:row r="218" spans="1:22" s="2" customFormat="1" ht="20.100000000000001" customHeight="1">
      <x:c r="A218" s="299"/>
      <x:c r="B218" s="3"/>
      <x:c r="C218" s="3"/>
      <x:c r="D218" s="4"/>
      <x:c r="E218" s="4"/>
      <x:c r="F218" s="5">
        <x:f t="shared" si="30"/>
        <x:v>0</x:v>
      </x:c>
      <x:c r="G218" s="6"/>
      <x:c r="H218" s="299"/>
      <x:c r="I218" s="3"/>
      <x:c r="J218" s="3"/>
      <x:c r="K218" s="4"/>
      <x:c r="L218" s="4">
        <x:f>+K218*0.1</x:f>
        <x:v>0</x:v>
      </x:c>
      <x:c r="M218" s="5">
        <x:f t="shared" si="31"/>
        <x:v>0</x:v>
      </x:c>
      <x:c r="N218" s="6"/>
      <x:c r="V218" s="1"/>
    </x:row>
    <x:row r="219" spans="1:22" s="2" customFormat="1" ht="20.100000000000001" customHeight="1">
      <x:c r="A219" s="299"/>
      <x:c r="B219" s="3"/>
      <x:c r="C219" s="3"/>
      <x:c r="D219" s="4"/>
      <x:c r="E219" s="4"/>
      <x:c r="F219" s="5">
        <x:f t="shared" si="30"/>
        <x:v>0</x:v>
      </x:c>
      <x:c r="G219" s="6"/>
      <x:c r="H219" s="299"/>
      <x:c r="I219" s="3"/>
      <x:c r="J219" s="3"/>
      <x:c r="K219" s="4"/>
      <x:c r="L219" s="4">
        <x:f>+K219*0.1</x:f>
        <x:v>0</x:v>
      </x:c>
      <x:c r="M219" s="5">
        <x:f t="shared" si="31"/>
        <x:v>0</x:v>
      </x:c>
      <x:c r="N219" s="6"/>
      <x:c r="V219" s="1"/>
    </x:row>
    <x:row r="220" spans="1:22" s="2" customFormat="1" ht="20.100000000000001" customHeight="1">
      <x:c r="A220" s="299"/>
      <x:c r="B220" s="3"/>
      <x:c r="C220" s="3"/>
      <x:c r="D220" s="4"/>
      <x:c r="E220" s="4"/>
      <x:c r="F220" s="5">
        <x:f t="shared" si="30"/>
        <x:v>0</x:v>
      </x:c>
      <x:c r="G220" s="6"/>
      <x:c r="H220" s="299"/>
      <x:c r="I220" s="3"/>
      <x:c r="J220" s="3"/>
      <x:c r="K220" s="4"/>
      <x:c r="L220" s="4">
        <x:f t="shared" ref="L220:L223" si="32">+K220*0.1</x:f>
        <x:v>0</x:v>
      </x:c>
      <x:c r="M220" s="5">
        <x:f t="shared" si="31"/>
        <x:v>0</x:v>
      </x:c>
      <x:c r="N220" s="6"/>
      <x:c r="V220" s="1"/>
    </x:row>
    <x:row r="221" spans="1:22" s="2" customFormat="1" ht="20.100000000000001" customHeight="1">
      <x:c r="A221" s="299"/>
      <x:c r="B221" s="3"/>
      <x:c r="C221" s="3"/>
      <x:c r="D221" s="4"/>
      <x:c r="E221" s="4"/>
      <x:c r="F221" s="5">
        <x:f t="shared" si="30"/>
        <x:v>0</x:v>
      </x:c>
      <x:c r="G221" s="6"/>
      <x:c r="H221" s="299"/>
      <x:c r="I221" s="3"/>
      <x:c r="J221" s="3"/>
      <x:c r="K221" s="4"/>
      <x:c r="L221" s="4">
        <x:f t="shared" si="32"/>
        <x:v>0</x:v>
      </x:c>
      <x:c r="M221" s="5">
        <x:f t="shared" si="31"/>
        <x:v>0</x:v>
      </x:c>
      <x:c r="N221" s="6"/>
      <x:c r="V221" s="1"/>
    </x:row>
    <x:row r="222" spans="1:22" s="2" customFormat="1" ht="20.100000000000001" customHeight="1">
      <x:c r="A222" s="299"/>
      <x:c r="B222" s="3"/>
      <x:c r="C222" s="3"/>
      <x:c r="D222" s="4"/>
      <x:c r="E222" s="4"/>
      <x:c r="F222" s="5"/>
      <x:c r="G222" s="6"/>
      <x:c r="H222" s="299"/>
      <x:c r="I222" s="3"/>
      <x:c r="J222" s="3"/>
      <x:c r="K222" s="4"/>
      <x:c r="L222" s="4">
        <x:f t="shared" si="32"/>
        <x:v>0</x:v>
      </x:c>
      <x:c r="M222" s="5"/>
      <x:c r="N222" s="6"/>
      <x:c r="V222" s="1"/>
    </x:row>
    <x:row r="223" spans="1:22" s="2" customFormat="1" ht="20.100000000000001" customHeight="1">
      <x:c r="A223" s="300"/>
      <x:c r="B223" s="3"/>
      <x:c r="C223" s="3"/>
      <x:c r="D223" s="4"/>
      <x:c r="E223" s="4"/>
      <x:c r="F223" s="5">
        <x:f>+D223+E223</x:f>
        <x:v>0</x:v>
      </x:c>
      <x:c r="G223" s="6"/>
      <x:c r="H223" s="300"/>
      <x:c r="I223" s="3"/>
      <x:c r="J223" s="3"/>
      <x:c r="K223" s="4"/>
      <x:c r="L223" s="4">
        <x:f t="shared" si="32"/>
        <x:v>0</x:v>
      </x:c>
      <x:c r="M223" s="5">
        <x:f>+K223+L223</x:f>
        <x:v>0</x:v>
      </x:c>
      <x:c r="N223" s="6"/>
      <x:c r="V223" s="1"/>
    </x:row>
    <x:row r="224" spans="1:22" s="2" customFormat="1" ht="20.100000000000001" customHeight="1">
      <x:c r="A224" s="7" t="s">
        <x:v>155</x:v>
      </x:c>
      <x:c r="B224" s="8"/>
      <x:c r="C224" s="8"/>
      <x:c r="D224" s="9">
        <x:f>SUM(D214:D223)</x:f>
        <x:v>489410</x:v>
      </x:c>
      <x:c r="E224" s="9">
        <x:f>SUM(E214:E223)</x:f>
        <x:v>0</x:v>
      </x:c>
      <x:c r="F224" s="10">
        <x:f>SUM(F214:F223)</x:f>
        <x:v>489410</x:v>
      </x:c>
      <x:c r="G224" s="11"/>
      <x:c r="H224" s="7"/>
      <x:c r="I224" s="8"/>
      <x:c r="J224" s="8"/>
      <x:c r="K224" s="9">
        <x:f>SUM(K214:K223)</x:f>
        <x:v>0</x:v>
      </x:c>
      <x:c r="L224" s="9">
        <x:f>SUM(L214:L223)</x:f>
        <x:v>0</x:v>
      </x:c>
      <x:c r="M224" s="10">
        <x:f>SUM(M214:M223)</x:f>
        <x:v>0</x:v>
      </x:c>
      <x:c r="N224" s="11"/>
      <x:c r="V224" s="1"/>
    </x:row>
    <x:row r="225" spans="1:22" s="2" customFormat="1" ht="20.100000000000001" customHeight="1">
      <x:c r="A225" s="12" t="s">
        <x:v>1690</x:v>
      </x:c>
      <x:c r="B225" s="13"/>
      <x:c r="C225" s="13"/>
      <x:c r="D225" s="14">
        <x:f>+D203+D208+D213+D224</x:f>
        <x:v>14090340</x:v>
      </x:c>
      <x:c r="E225" s="14">
        <x:f>+E203+E208+E213+E224</x:f>
        <x:v>796093</x:v>
      </x:c>
      <x:c r="F225" s="15">
        <x:f>+F203+F208+F213+F224</x:f>
        <x:v>14886433</x:v>
      </x:c>
      <x:c r="G225" s="16"/>
      <x:c r="H225" s="12"/>
      <x:c r="I225" s="13"/>
      <x:c r="J225" s="13"/>
      <x:c r="K225" s="14">
        <x:f>+K203+K208+K213+K224</x:f>
        <x:v>0</x:v>
      </x:c>
      <x:c r="L225" s="14">
        <x:f>+L203+L208+L213+L224</x:f>
        <x:v>0</x:v>
      </x:c>
      <x:c r="M225" s="15">
        <x:f>+M203+M208+M213+M224</x:f>
        <x:v>0</x:v>
      </x:c>
      <x:c r="N225" s="16"/>
      <x:c r="V225" s="1"/>
    </x:row>
    <x:row r="226" spans="1:22" s="2" customFormat="1" ht="20.100000000000001" customHeight="1">
      <x:c r="A226" s="23" t="s">
        <x:v>35</x:v>
      </x:c>
      <x:c r="B226" s="24"/>
      <x:c r="C226" s="24"/>
      <x:c r="D226" s="25">
        <x:f>+D186-D225</x:f>
        <x:v>34609660</x:v>
      </x:c>
      <x:c r="E226" s="25">
        <x:f>+E186-E225</x:f>
        <x:v>4073907</x:v>
      </x:c>
      <x:c r="F226" s="26">
        <x:f>+F186-F225</x:f>
        <x:v>38683567</x:v>
      </x:c>
      <x:c r="G226" s="27"/>
      <x:c r="H226" s="23"/>
      <x:c r="I226" s="24"/>
      <x:c r="J226" s="24"/>
      <x:c r="K226" s="25">
        <x:f>+K186-K225</x:f>
        <x:v>0</x:v>
      </x:c>
      <x:c r="L226" s="25">
        <x:f>+L186-L225</x:f>
        <x:v>0</x:v>
      </x:c>
      <x:c r="M226" s="26">
        <x:f>+M186-M225</x:f>
        <x:v>0</x:v>
      </x:c>
      <x:c r="N226" s="27"/>
      <x:c r="V226" s="1"/>
    </x:row>
  </x:sheetData>
  <x:mergeCells count="52">
    <x:mergeCell ref="A1:N1"/>
    <x:mergeCell ref="O1:S1"/>
    <x:mergeCell ref="A2:G2"/>
    <x:mergeCell ref="H2:N2"/>
    <x:mergeCell ref="A5:A18"/>
    <x:mergeCell ref="H5:H18"/>
    <x:mergeCell ref="A20:A25"/>
    <x:mergeCell ref="H20:H25"/>
    <x:mergeCell ref="A27:A30"/>
    <x:mergeCell ref="H27:H30"/>
    <x:mergeCell ref="A32:A42"/>
    <x:mergeCell ref="H32:H42"/>
    <x:mergeCell ref="A46:G46"/>
    <x:mergeCell ref="H46:N46"/>
    <x:mergeCell ref="A49:A65"/>
    <x:mergeCell ref="H49:H65"/>
    <x:mergeCell ref="A67:A70"/>
    <x:mergeCell ref="H67:H70"/>
    <x:mergeCell ref="A72:A77"/>
    <x:mergeCell ref="H72:H77"/>
    <x:mergeCell ref="A79:A91"/>
    <x:mergeCell ref="H79:H91"/>
    <x:mergeCell ref="A95:G95"/>
    <x:mergeCell ref="H95:N95"/>
    <x:mergeCell ref="A98:A119"/>
    <x:mergeCell ref="H98:H119"/>
    <x:mergeCell ref="A121:A124"/>
    <x:mergeCell ref="H121:H124"/>
    <x:mergeCell ref="A126:A128"/>
    <x:mergeCell ref="H126:H128"/>
    <x:mergeCell ref="A130:A137"/>
    <x:mergeCell ref="H130:H137"/>
    <x:mergeCell ref="A141:G141"/>
    <x:mergeCell ref="H141:N141"/>
    <x:mergeCell ref="A144:A159"/>
    <x:mergeCell ref="H144:H159"/>
    <x:mergeCell ref="A161:A164"/>
    <x:mergeCell ref="H161:H164"/>
    <x:mergeCell ref="A166:A169"/>
    <x:mergeCell ref="H166:H169"/>
    <x:mergeCell ref="A171:A180"/>
    <x:mergeCell ref="H171:H180"/>
    <x:mergeCell ref="A209:A212"/>
    <x:mergeCell ref="H209:H212"/>
    <x:mergeCell ref="A214:A223"/>
    <x:mergeCell ref="H214:H223"/>
    <x:mergeCell ref="A184:G184"/>
    <x:mergeCell ref="H184:N184"/>
    <x:mergeCell ref="A187:A202"/>
    <x:mergeCell ref="H187:H202"/>
    <x:mergeCell ref="A204:A207"/>
    <x:mergeCell ref="H204:H207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4" manualBreakCount="4">
    <x:brk id="45" min="0" max="1048575" man="1" pt="0"/>
    <x:brk id="94" min="0" max="1048575" man="1" pt="0"/>
    <x:brk id="140" min="0" max="1048575" man="1" pt="0"/>
    <x:brk id="183" min="0" max="1048575" man="1" pt="0"/>
  </x:rowBreaks>
</x:worksheet>
</file>

<file path=xl/worksheets/sheet7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1"/>
  <x:dimension ref="A1:S116"/>
  <x:sheetViews>
    <x:sheetView view="pageBreakPreview" topLeftCell="A1" zoomScaleNormal="100" zoomScaleSheetLayoutView="100" workbookViewId="0">
      <x:selection activeCell="D13" activeCellId="0" sqref="D13:D13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hidden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1811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37"/>
      <x:c r="C2" s="237"/>
      <x:c r="D2" s="237"/>
      <x:c r="E2" s="237"/>
      <x:c r="F2" s="237"/>
      <x:c r="G2" s="237"/>
      <x:c r="H2" s="237"/>
      <x:c r="I2" s="237"/>
      <x:c r="J2" s="237"/>
      <x:c r="K2" s="237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39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'21년12월(세부내역-실)'!D4</x:f>
        <x:v>543090000</x:v>
      </x:c>
      <x:c r="F5" s="67">
        <x:f>'21년12월(세부내역-실)'!D19-'21년12월(세부내역-실)'!D5-'21년12월(세부내역-실)'!D9-'21년12월(세부내역-실)'!D17-'21년12월(세부내역-실)'!D18</x:f>
        <x:v>70477500</x:v>
      </x:c>
      <x:c r="G5" s="67">
        <x:f>'21년12월(세부내역-실)'!D26</x:f>
        <x:v>123385000</x:v>
      </x:c>
      <x:c r="H5" s="67">
        <x:f>'21년12월(세부내역-실)'!D31</x:f>
        <x:v>1200000</x:v>
      </x:c>
      <x:c r="I5" s="67">
        <x:f>'21년12월(세부내역-실)'!D43</x:f>
        <x:v>6999779.5999999996</x:v>
      </x:c>
      <x:c r="J5" s="75">
        <x:f t="shared" ref="J5:J12" si="0">+SUM(F5:I5)</x:f>
        <x:v>202062279.59999999</x:v>
      </x:c>
      <x:c r="K5" s="141">
        <x:f t="shared" ref="K5:K13" si="1">E5-J5</x:f>
        <x:v>341027720.39999998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553</x:v>
      </x:c>
      <x:c r="C6" s="63" t="s">
        <x:v>791</x:v>
      </x:c>
      <x:c r="D6" s="115" t="s">
        <x:v>551</x:v>
      </x:c>
      <x:c r="E6" s="74">
        <x:f>'21년12월(세부내역-실)'!K4</x:f>
        <x:v>0</x:v>
      </x:c>
      <x:c r="F6" s="59">
        <x:f>+'21년12월(세부내역-실)'!K19</x:f>
        <x:v>0</x:v>
      </x:c>
      <x:c r="G6" s="59">
        <x:f>'21년12월(세부내역-실)'!K26</x:f>
        <x:v>0</x:v>
      </x:c>
      <x:c r="H6" s="59">
        <x:f>'21년12월(세부내역-실)'!K31</x:f>
        <x:v>0</x:v>
      </x:c>
      <x:c r="I6" s="59">
        <x:f>'21년12월(세부내역-실)'!K43</x:f>
        <x:v>0</x:v>
      </x:c>
      <x:c r="J6" s="75">
        <x:f t="shared" si="0"/>
        <x:v>0</x:v>
      </x:c>
      <x:c r="K6" s="140">
        <x:f t="shared" si="1"/>
        <x:v>0</x:v>
      </x:c>
      <x:c r="L6" s="59"/>
    </x:row>
    <x:row r="7" spans="1:12" ht="30" customHeight="1">
      <x:c r="A7" s="63">
        <x:v>3</x:v>
      </x:c>
      <x:c r="B7" s="63" t="s">
        <x:v>789</x:v>
      </x:c>
      <x:c r="C7" s="63" t="s">
        <x:v>156</x:v>
      </x:c>
      <x:c r="D7" s="115" t="s">
        <x:v>96</x:v>
      </x:c>
      <x:c r="E7" s="74">
        <x:f>'21년12월(세부내역-실)'!K48</x:f>
        <x:v>916000000</x:v>
      </x:c>
      <x:c r="F7" s="59">
        <x:f>'21년12월(세부내역-실)'!K66-'21년12월(세부내역-실)'!K49-'21년12월(세부내역-실)'!K50-'21년12월(세부내역-실)'!K52-'21년12월(세부내역-실)'!K55</x:f>
        <x:v>267439589</x:v>
      </x:c>
      <x:c r="G7" s="59">
        <x:f>'21년12월(세부내역-실)'!K71</x:f>
        <x:v>71320000</x:v>
      </x:c>
      <x:c r="H7" s="59">
        <x:f>'21년12월(세부내역-실)'!K78</x:f>
        <x:v>1810000</x:v>
      </x:c>
      <x:c r="I7" s="59">
        <x:f>'21년12월(세부내역-실)'!K92</x:f>
        <x:v>7476419.4000000004</x:v>
      </x:c>
      <x:c r="J7" s="75">
        <x:f t="shared" si="0"/>
        <x:v>348046008.39999998</x:v>
      </x:c>
      <x:c r="K7" s="141">
        <x:f t="shared" si="1"/>
        <x:v>567953991.60000002</x:v>
      </x:c>
      <x:c r="L7" s="204" t="s">
        <x:v>529</x:v>
      </x:c>
    </x:row>
    <x:row r="8" spans="1:12" ht="30" customHeight="1">
      <x:c r="A8" s="63">
        <x:v>4</x:v>
      </x:c>
      <x:c r="B8" s="63" t="s">
        <x:v>415</x:v>
      </x:c>
      <x:c r="C8" s="63" t="s">
        <x:v>791</x:v>
      </x:c>
      <x:c r="D8" s="115" t="s">
        <x:v>135</x:v>
      </x:c>
      <x:c r="E8" s="74">
        <x:f>'21년12월(세부내역-실)'!D97</x:f>
        <x:v>247500000</x:v>
      </x:c>
      <x:c r="F8" s="59">
        <x:f>'21년12월(세부내역-실)'!D120-'21년12월(세부내역-실)'!D98-'21년12월(세부내역-실)'!D105-'21년12월(세부내역-실)'!D115</x:f>
        <x:v>18168960</x:v>
      </x:c>
      <x:c r="G8" s="59">
        <x:f>'21년12월(세부내역-실)'!D125-4500000</x:f>
        <x:v>13330000</x:v>
      </x:c>
      <x:c r="H8" s="59">
        <x:f>'21년12월(세부내역-실)'!D129</x:f>
        <x:v>765000</x:v>
      </x:c>
      <x:c r="I8" s="59">
        <x:f>'21년12월(세부내역-실)'!D138</x:f>
        <x:v>1728837</x:v>
      </x:c>
      <x:c r="J8" s="75">
        <x:f t="shared" si="0"/>
        <x:v>33992797</x:v>
      </x:c>
      <x:c r="K8" s="141">
        <x:f t="shared" si="1"/>
        <x:v>213507203</x:v>
      </x:c>
      <x:c r="L8" s="204" t="s">
        <x:v>216</x:v>
      </x:c>
    </x:row>
    <x:row r="9" spans="1:12" ht="30" customHeight="1">
      <x:c r="A9" s="63">
        <x:v>5</x:v>
      </x:c>
      <x:c r="B9" s="63" t="s">
        <x:v>466</x:v>
      </x:c>
      <x:c r="C9" s="63" t="s">
        <x:v>791</x:v>
      </x:c>
      <x:c r="D9" s="115" t="s">
        <x:v>116</x:v>
      </x:c>
      <x:c r="E9" s="74">
        <x:f>'21년12월(세부내역-실)'!K97</x:f>
        <x:v>0</x:v>
      </x:c>
      <x:c r="F9" s="59">
        <x:f>'21년12월(세부내역-실)'!K120</x:f>
        <x:v>12707260</x:v>
      </x:c>
      <x:c r="G9" s="59">
        <x:f>'21년12월(세부내역-실)'!K125</x:f>
        <x:v>2720000</x:v>
      </x:c>
      <x:c r="H9" s="59">
        <x:f>'21년12월(세부내역-실)'!K129</x:f>
        <x:v>0</x:v>
      </x:c>
      <x:c r="I9" s="59">
        <x:f>'21년12월(세부내역-실)'!K138</x:f>
        <x:v>557340</x:v>
      </x:c>
      <x:c r="J9" s="75">
        <x:f t="shared" si="0"/>
        <x:v>15984600</x:v>
      </x:c>
      <x:c r="K9" s="141">
        <x:f t="shared" si="1"/>
        <x:v>-15984600</x:v>
      </x:c>
      <x:c r="L9" s="204" t="s">
        <x:v>579</x:v>
      </x:c>
    </x:row>
    <x:row r="10" spans="1:12" ht="30" customHeight="1">
      <x:c r="A10" s="63">
        <x:v>6</x:v>
      </x:c>
      <x:c r="B10" s="63" t="s">
        <x:v>423</x:v>
      </x:c>
      <x:c r="C10" s="63" t="s">
        <x:v>156</x:v>
      </x:c>
      <x:c r="D10" s="115" t="s">
        <x:v>123</x:v>
      </x:c>
      <x:c r="E10" s="74">
        <x:f>'21년12월(세부내역-실)'!D143</x:f>
        <x:v>0</x:v>
      </x:c>
      <x:c r="F10" s="59">
        <x:f>'21년12월(세부내역-실)'!D160</x:f>
        <x:v>0</x:v>
      </x:c>
      <x:c r="G10" s="59">
        <x:f>'21년12월(세부내역-실)'!D165</x:f>
        <x:v>0</x:v>
      </x:c>
      <x:c r="H10" s="59">
        <x:f>'21년12월(세부내역-실)'!D170</x:f>
        <x:v>0</x:v>
      </x:c>
      <x:c r="I10" s="59">
        <x:f>'21년12월(세부내역-실)'!D181</x:f>
        <x:v>438460</x:v>
      </x:c>
      <x:c r="J10" s="75">
        <x:f t="shared" si="0"/>
        <x:v>438460</x:v>
      </x:c>
      <x:c r="K10" s="141">
        <x:f t="shared" si="1"/>
        <x:v>-438460</x:v>
      </x:c>
      <x:c r="L10" s="205" t="s">
        <x:v>258</x:v>
      </x:c>
    </x:row>
    <x:row r="11" spans="1:12" ht="30" customHeight="1">
      <x:c r="A11" s="63">
        <x:v>7</x:v>
      </x:c>
      <x:c r="B11" s="63" t="s">
        <x:v>410</x:v>
      </x:c>
      <x:c r="C11" s="63" t="s">
        <x:v>488</x:v>
      </x:c>
      <x:c r="D11" s="115" t="s">
        <x:v>138</x:v>
      </x:c>
      <x:c r="E11" s="74">
        <x:f>'21년12월(세부내역-실)'!D48</x:f>
        <x:v>154300000</x:v>
      </x:c>
      <x:c r="F11" s="59">
        <x:f>+'21년12월(세부내역-실)'!D66-'21년12월(세부내역-실)'!D49-'21년12월(세부내역-실)'!D50-'21년12월(세부내역-실)'!D52-'21년12월(세부내역-실)'!D54-'21년12월(세부내역-실)'!D64</x:f>
        <x:v>9987974</x:v>
      </x:c>
      <x:c r="G11" s="59">
        <x:f>'21년12월(세부내역-실)'!D71</x:f>
        <x:v>96042000</x:v>
      </x:c>
      <x:c r="H11" s="59">
        <x:f>'21년12월(세부내역-실)'!D78</x:f>
        <x:v>2040000</x:v>
      </x:c>
      <x:c r="I11" s="59">
        <x:f>'21년12월(세부내역-실)'!D92</x:f>
        <x:v>5081091</x:v>
      </x:c>
      <x:c r="J11" s="75">
        <x:f t="shared" si="0"/>
        <x:v>113151065</x:v>
      </x:c>
      <x:c r="K11" s="141">
        <x:f>E11-J11</x:f>
        <x:v>41148935</x:v>
      </x:c>
      <x:c r="L11" s="205" t="s">
        <x:v>552</x:v>
      </x:c>
    </x:row>
    <x:row r="12" spans="1:12" ht="30" customHeight="1">
      <x:c r="A12" s="63">
        <x:v>8</x:v>
      </x:c>
      <x:c r="B12" s="63" t="s">
        <x:v>494</x:v>
      </x:c>
      <x:c r="C12" s="63" t="s">
        <x:v>1065</x:v>
      </x:c>
      <x:c r="D12" s="115" t="s">
        <x:v>502</x:v>
      </x:c>
      <x:c r="E12" s="74">
        <x:f>'21년12월(세부내역-실)'!K143</x:f>
        <x:v>112000000</x:v>
      </x:c>
      <x:c r="F12" s="59">
        <x:f>'21년12월(세부내역-실)'!K160-'21년12월(세부내역-실)'!K144-'21년12월(세부내역-실)'!K147</x:f>
        <x:v>10609210</x:v>
      </x:c>
      <x:c r="G12" s="59">
        <x:f>+'21년12월(세부내역-실)'!K165-4500000</x:f>
        <x:v>22580000</x:v>
      </x:c>
      <x:c r="H12" s="59">
        <x:f>+'21년12월(세부내역-실)'!K170</x:f>
        <x:v>300000</x:v>
      </x:c>
      <x:c r="I12" s="59">
        <x:f>+'21년12월(세부내역-실)'!K181</x:f>
        <x:v>5640189</x:v>
      </x:c>
      <x:c r="J12" s="75">
        <x:f t="shared" si="0"/>
        <x:v>39129399</x:v>
      </x:c>
      <x:c r="K12" s="141">
        <x:f t="shared" si="1"/>
        <x:v>72870601</x:v>
      </x:c>
      <x:c r="L12" s="204"/>
    </x:row>
    <x:row r="13" spans="1:12" ht="30" customHeight="1">
      <x:c r="A13" s="63">
        <x:v>9</x:v>
      </x:c>
      <x:c r="B13" s="63" t="s">
        <x:v>560</x:v>
      </x:c>
      <x:c r="C13" s="63" t="s">
        <x:v>156</x:v>
      </x:c>
      <x:c r="D13" s="115" t="s">
        <x:v>564</x:v>
      </x:c>
      <x:c r="E13" s="74">
        <x:f>'21년12월(세부내역-실)'!D186</x:f>
        <x:v>0</x:v>
      </x:c>
      <x:c r="F13" s="59">
        <x:f>'21년12월(세부내역-실)'!D203</x:f>
        <x:v>0</x:v>
      </x:c>
      <x:c r="G13" s="59">
        <x:f>'21년12월(세부내역-실)'!D208</x:f>
        <x:v>0</x:v>
      </x:c>
      <x:c r="H13" s="59">
        <x:f>'21년12월(세부내역-실)'!D213</x:f>
        <x:v>0</x:v>
      </x:c>
      <x:c r="I13" s="59">
        <x:f>'21년12월(세부내역-실)'!D224</x:f>
        <x:v>0</x:v>
      </x:c>
      <x:c r="J13" s="75">
        <x:f>+SUM(F13:I13)</x:f>
        <x:v>0</x:v>
      </x:c>
      <x:c r="K13" s="141">
        <x:f t="shared" si="1"/>
        <x:v>0</x:v>
      </x:c>
      <x:c r="L13" s="204"/>
    </x:row>
    <x:row r="14" spans="1:12" ht="30" customHeight="1">
      <x:c r="A14" s="64"/>
      <x:c r="B14" s="64" t="s">
        <x:v>1690</x:v>
      </x:c>
      <x:c r="C14" s="64"/>
      <x:c r="D14" s="64"/>
      <x:c r="E14" s="68">
        <x:f t="shared" ref="E14:K14" si="2">SUM(E5:E13)</x:f>
        <x:v>1972890000</x:v>
      </x:c>
      <x:c r="F14" s="66">
        <x:f t="shared" si="2"/>
        <x:v>389390493</x:v>
      </x:c>
      <x:c r="G14" s="66">
        <x:f t="shared" si="2"/>
        <x:v>329377000</x:v>
      </x:c>
      <x:c r="H14" s="66">
        <x:f t="shared" si="2"/>
        <x:v>6115000</x:v>
      </x:c>
      <x:c r="I14" s="66">
        <x:f t="shared" si="2"/>
        <x:v>27922116</x:v>
      </x:c>
      <x:c r="J14" s="69">
        <x:f t="shared" si="2"/>
        <x:v>752804609</x:v>
      </x:c>
      <x:c r="K14" s="142">
        <x:f t="shared" si="2"/>
        <x:v>1220085391</x:v>
      </x:c>
      <x:c r="L14" s="66"/>
    </x:row>
    <x:row r="26" spans="1:19" s="2" customFormat="1">
      <x:c r="A26" s="1"/>
      <x:c r="B26" s="1"/>
      <x:c r="C26" s="1"/>
      <x:c r="D26" s="1"/>
      <x:c r="E26" s="1"/>
      <x:c r="J26" s="1"/>
      <x:c r="K26" s="1"/>
      <x:c r="M26" s="1"/>
      <x:c r="N26" s="1"/>
      <x:c r="O26" s="1"/>
      <x:c r="P26" s="1"/>
      <x:c r="Q26" s="1"/>
      <x:c r="R26" s="1"/>
      <x:c r="S26" s="1"/>
    </x:row>
    <x:row r="116" spans="4:4">
      <x:c r="D116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7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2"/>
  <x:dimension ref="A1:V226"/>
  <x:sheetViews>
    <x:sheetView view="pageBreakPreview" topLeftCell="A1" zoomScaleNormal="100" zoomScaleSheetLayoutView="100" workbookViewId="0">
      <x:selection activeCell="B15" activeCellId="0" sqref="B15:B15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1818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553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39" t="s">
        <x:v>144</x:v>
      </x:c>
      <x:c r="C3" s="239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39" t="s">
        <x:v>144</x:v>
      </x:c>
      <x:c r="J3" s="239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543090000</x:v>
      </x:c>
      <x:c r="E4" s="39">
        <x:v>16910000</x:v>
      </x:c>
      <x:c r="F4" s="40">
        <x:f>+D4+E4</x:f>
        <x:v>560000000</x:v>
      </x:c>
      <x:c r="G4" s="42"/>
      <x:c r="H4" s="238" t="s">
        <x:v>151</x:v>
      </x:c>
      <x:c r="I4" s="38" t="s">
        <x:v>1679</x:v>
      </x:c>
      <x:c r="J4" s="38" t="s">
        <x:v>791</x:v>
      </x:c>
      <x:c r="K4" s="39"/>
      <x:c r="L4" s="39"/>
      <x:c r="M4" s="40">
        <x:f>+K4+L4</x:f>
        <x:v>0</x:v>
      </x:c>
      <x:c r="N4" s="18"/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369</x:v>
      </x:c>
      <x:c r="D5" s="167">
        <x:v>72192970</x:v>
      </x:c>
      <x:c r="E5" s="167">
        <x:f>+D5*0.1</x:f>
        <x:v>7219297</x:v>
      </x:c>
      <x:c r="F5" s="168">
        <x:f>+D5+E5</x:f>
        <x:v>79412267</x:v>
      </x:c>
      <x:c r="G5" s="169" t="s">
        <x:v>1611</x:v>
      </x:c>
      <x:c r="H5" s="298" t="s">
        <x:v>148</x:v>
      </x:c>
      <x:c r="I5" s="19"/>
      <x:c r="J5" s="19"/>
      <x:c r="K5" s="20"/>
      <x:c r="L5" s="20">
        <x:f t="shared" ref="L5:L18" si="0">+INT(K5*0.1)</x:f>
        <x:v>0</x:v>
      </x:c>
      <x:c r="M5" s="21">
        <x:f t="shared" ref="M5:M25" si="1">+K5+L5</x:f>
        <x:v>0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261" t="s">
        <x:v>902</x:v>
      </x:c>
      <x:c r="C6" s="178" t="s">
        <x:v>615</x:v>
      </x:c>
      <x:c r="D6" s="163">
        <x:v>3892610</x:v>
      </x:c>
      <x:c r="E6" s="163">
        <x:f>+D6*0.1</x:f>
        <x:v>389261</x:v>
      </x:c>
      <x:c r="F6" s="164">
        <x:f>+D6+E6</x:f>
        <x:v>4281871</x:v>
      </x:c>
      <x:c r="G6" s="203"/>
      <x:c r="H6" s="299"/>
      <x:c r="I6" s="3"/>
      <x:c r="J6" s="3"/>
      <x:c r="K6" s="4"/>
      <x:c r="L6" s="4">
        <x:f t="shared" si="0"/>
        <x:v>0</x:v>
      </x:c>
      <x:c r="M6" s="5">
        <x:f t="shared" si="1"/>
        <x:v>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129" t="s">
        <x:v>1348</x:v>
      </x:c>
      <x:c r="C7" s="3"/>
      <x:c r="D7" s="163"/>
      <x:c r="E7" s="4">
        <x:f>+D7*0.1</x:f>
        <x:v>0</x:v>
      </x:c>
      <x:c r="F7" s="5">
        <x:f>+D7+E7</x:f>
        <x:v>0</x:v>
      </x:c>
      <x:c r="G7" s="180"/>
      <x:c r="H7" s="299"/>
      <x:c r="I7" s="3"/>
      <x:c r="J7" s="3"/>
      <x:c r="K7" s="4"/>
      <x:c r="L7" s="4">
        <x:f t="shared" si="0"/>
        <x:v>0</x:v>
      </x:c>
      <x:c r="M7" s="5">
        <x:f t="shared" si="1"/>
        <x:v>0</x:v>
      </x:c>
      <x:c r="N7" s="6"/>
    </x:row>
    <x:row r="8" spans="1:14" ht="20.100000000000001" customHeight="1">
      <x:c r="A8" s="299"/>
      <x:c r="B8" s="129" t="s">
        <x:v>895</x:v>
      </x:c>
      <x:c r="C8" s="162" t="s">
        <x:v>1709</x:v>
      </x:c>
      <x:c r="D8" s="163">
        <x:v>34160000</x:v>
      </x:c>
      <x:c r="E8" s="163">
        <x:f>+D8*0.1</x:f>
        <x:v>3416000</x:v>
      </x:c>
      <x:c r="F8" s="164">
        <x:f t="shared" ref="F8:F15" si="2">+D8+E8</x:f>
        <x:v>37576000</x:v>
      </x:c>
      <x:c r="G8" s="233"/>
      <x:c r="H8" s="299"/>
      <x:c r="I8" s="3"/>
      <x:c r="J8" s="3"/>
      <x:c r="K8" s="4"/>
      <x:c r="L8" s="4">
        <x:f t="shared" si="0"/>
        <x:v>0</x:v>
      </x:c>
      <x:c r="M8" s="5">
        <x:f t="shared" si="1"/>
        <x:v>0</x:v>
      </x:c>
      <x:c r="N8" s="6"/>
    </x:row>
    <x:row r="9" spans="1:14" ht="20.100000000000001" customHeight="1">
      <x:c r="A9" s="299"/>
      <x:c r="B9" s="129" t="s">
        <x:v>1119</x:v>
      </x:c>
      <x:c r="C9" s="162" t="s">
        <x:v>718</x:v>
      </x:c>
      <x:c r="D9" s="163">
        <x:v>315000</x:v>
      </x:c>
      <x:c r="E9" s="4">
        <x:f t="shared" ref="E9:E17" si="3">+D9*0.1</x:f>
        <x:v>31500</x:v>
      </x:c>
      <x:c r="F9" s="45">
        <x:f t="shared" si="2"/>
        <x:v>346500</x:v>
      </x:c>
      <x:c r="G9" s="37"/>
      <x:c r="H9" s="299"/>
      <x:c r="I9" s="3"/>
      <x:c r="J9" s="3"/>
      <x:c r="K9" s="4"/>
      <x:c r="L9" s="4">
        <x:f>+INT(K9*0.1)</x:f>
        <x:v>0</x:v>
      </x:c>
      <x:c r="M9" s="5">
        <x:f t="shared" si="1"/>
        <x:v>0</x:v>
      </x:c>
      <x:c r="N9" s="6"/>
    </x:row>
    <x:row r="10" spans="1:14" ht="20.100000000000001" customHeight="1">
      <x:c r="A10" s="299"/>
      <x:c r="B10" s="129" t="s">
        <x:v>846</x:v>
      </x:c>
      <x:c r="C10" s="3" t="s">
        <x:v>1630</x:v>
      </x:c>
      <x:c r="D10" s="163">
        <x:v>2388000</x:v>
      </x:c>
      <x:c r="E10" s="4">
        <x:f t="shared" si="3"/>
        <x:v>238800</x:v>
      </x:c>
      <x:c r="F10" s="5">
        <x:f t="shared" si="2"/>
        <x:v>2626800</x:v>
      </x:c>
      <x:c r="G10" s="37"/>
      <x:c r="H10" s="299"/>
      <x:c r="I10" s="3"/>
      <x:c r="J10" s="3"/>
      <x:c r="K10" s="4"/>
      <x:c r="L10" s="4">
        <x:f t="shared" si="0"/>
        <x:v>0</x:v>
      </x:c>
      <x:c r="M10" s="5">
        <x:f t="shared" si="1"/>
        <x:v>0</x:v>
      </x:c>
      <x:c r="N10" s="6"/>
    </x:row>
    <x:row r="11" spans="1:14" ht="20.100000000000001" customHeight="1">
      <x:c r="A11" s="299"/>
      <x:c r="B11" s="261" t="s">
        <x:v>864</x:v>
      </x:c>
      <x:c r="C11" s="178" t="s">
        <x:v>439</x:v>
      </x:c>
      <x:c r="D11" s="163">
        <x:v>6605640</x:v>
      </x:c>
      <x:c r="E11" s="4">
        <x:f t="shared" si="3"/>
        <x:v>660564</x:v>
      </x:c>
      <x:c r="F11" s="5">
        <x:f t="shared" si="2"/>
        <x:v>7266204</x:v>
      </x:c>
      <x:c r="G11" s="6"/>
      <x:c r="H11" s="299"/>
      <x:c r="I11" s="3"/>
      <x:c r="J11" s="3"/>
      <x:c r="K11" s="4"/>
      <x:c r="L11" s="4">
        <x:f t="shared" si="0"/>
        <x:v>0</x:v>
      </x:c>
      <x:c r="M11" s="5">
        <x:f t="shared" si="1"/>
        <x:v>0</x:v>
      </x:c>
      <x:c r="N11" s="217"/>
    </x:row>
    <x:row r="12" spans="1:14" ht="20.100000000000001" customHeight="1">
      <x:c r="A12" s="299"/>
      <x:c r="B12" s="261" t="s">
        <x:v>1058</x:v>
      </x:c>
      <x:c r="C12" s="178" t="s">
        <x:v>748</x:v>
      </x:c>
      <x:c r="D12" s="163">
        <x:v>9037200</x:v>
      </x:c>
      <x:c r="E12" s="4">
        <x:f t="shared" si="3"/>
        <x:v>903720</x:v>
      </x:c>
      <x:c r="F12" s="5">
        <x:f t="shared" si="2"/>
        <x:v>9940920</x:v>
      </x:c>
      <x:c r="G12" s="6"/>
      <x:c r="H12" s="299"/>
      <x:c r="I12" s="3"/>
      <x:c r="J12" s="3"/>
      <x:c r="K12" s="4"/>
      <x:c r="L12" s="4"/>
      <x:c r="M12" s="5"/>
      <x:c r="N12" s="217"/>
    </x:row>
    <x:row r="13" spans="1:14" ht="20.100000000000001" customHeight="1">
      <x:c r="A13" s="299"/>
      <x:c r="B13" s="129" t="s">
        <x:v>938</x:v>
      </x:c>
      <x:c r="C13" s="3"/>
      <x:c r="D13" s="163"/>
      <x:c r="E13" s="4">
        <x:f t="shared" si="3"/>
        <x:v>0</x:v>
      </x:c>
      <x:c r="F13" s="45">
        <x:f t="shared" si="2"/>
        <x:v>0</x:v>
      </x:c>
      <x:c r="G13" s="37"/>
      <x:c r="H13" s="299"/>
      <x:c r="I13" s="3"/>
      <x:c r="J13" s="3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262" t="s">
        <x:v>1378</x:v>
      </x:c>
      <x:c r="C14" s="162"/>
      <x:c r="D14" s="163"/>
      <x:c r="E14" s="4">
        <x:f t="shared" si="3"/>
        <x:v>0</x:v>
      </x:c>
      <x:c r="F14" s="45">
        <x:f t="shared" si="2"/>
        <x:v>0</x:v>
      </x:c>
      <x:c r="G14" s="6"/>
      <x:c r="H14" s="299"/>
      <x:c r="I14" s="3"/>
      <x:c r="J14" s="3"/>
      <x:c r="K14" s="4"/>
      <x:c r="L14" s="4">
        <x:f t="shared" si="0"/>
        <x:v>0</x:v>
      </x:c>
      <x:c r="M14" s="5">
        <x:f t="shared" si="1"/>
        <x:v>0</x:v>
      </x:c>
      <x:c r="N14" s="6"/>
    </x:row>
    <x:row r="15" spans="1:14" ht="20.100000000000001" customHeight="1">
      <x:c r="A15" s="299"/>
      <x:c r="B15" s="129" t="s">
        <x:v>976</x:v>
      </x:c>
      <x:c r="C15" s="3" t="s">
        <x:v>528</x:v>
      </x:c>
      <x:c r="D15" s="163">
        <x:v>3150000</x:v>
      </x:c>
      <x:c r="E15" s="4">
        <x:f t="shared" si="3"/>
        <x:v>315000</x:v>
      </x:c>
      <x:c r="F15" s="45">
        <x:f t="shared" si="2"/>
        <x:v>3465000</x:v>
      </x:c>
      <x:c r="G15" s="37"/>
      <x:c r="H15" s="299"/>
      <x:c r="I15" s="3"/>
      <x:c r="J15" s="3"/>
      <x:c r="K15" s="4"/>
      <x:c r="L15" s="4">
        <x:f t="shared" si="0"/>
        <x:v>0</x:v>
      </x:c>
      <x:c r="M15" s="5">
        <x:f t="shared" si="1"/>
        <x:v>0</x:v>
      </x:c>
      <x:c r="N15" s="6"/>
    </x:row>
    <x:row r="16" spans="1:14" ht="20.100000000000001" customHeight="1">
      <x:c r="A16" s="299"/>
      <x:c r="B16" s="262" t="s">
        <x:v>1564</x:v>
      </x:c>
      <x:c r="C16" s="162" t="s">
        <x:v>1552</x:v>
      </x:c>
      <x:c r="D16" s="163">
        <x:v>11244050</x:v>
      </x:c>
      <x:c r="E16" s="163">
        <x:f t="shared" si="3"/>
        <x:v>1124405</x:v>
      </x:c>
      <x:c r="F16" s="164">
        <x:f>+D16+E16</x:f>
        <x:v>12368455</x:v>
      </x:c>
      <x:c r="G16" s="180"/>
      <x:c r="H16" s="299"/>
      <x:c r="I16" s="3"/>
      <x:c r="J16" s="3"/>
      <x:c r="K16" s="4"/>
      <x:c r="L16" s="4">
        <x:f t="shared" si="0"/>
        <x:v>0</x:v>
      </x:c>
      <x:c r="M16" s="5">
        <x:f t="shared" si="1"/>
        <x:v>0</x:v>
      </x:c>
      <x:c r="N16" s="6"/>
    </x:row>
    <x:row r="17" spans="1:14" ht="20.100000000000001" customHeight="1">
      <x:c r="A17" s="299"/>
      <x:c r="B17" s="129" t="s">
        <x:v>1626</x:v>
      </x:c>
      <x:c r="C17" s="3" t="s">
        <x:v>1623</x:v>
      </x:c>
      <x:c r="D17" s="163">
        <x:v>2841762</x:v>
      </x:c>
      <x:c r="E17" s="4">
        <x:f t="shared" si="3"/>
        <x:v>284176.20000000001</x:v>
      </x:c>
      <x:c r="F17" s="45">
        <x:f>+D17+E17</x:f>
        <x:v>3125938.2000000002</x:v>
      </x:c>
      <x:c r="G17" s="6" t="s">
        <x:v>567</x:v>
      </x:c>
      <x:c r="H17" s="299"/>
      <x:c r="I17" s="3"/>
      <x:c r="J17" s="3"/>
      <x:c r="K17" s="4"/>
      <x:c r="L17" s="4">
        <x:f>+INT(K17*0.1)</x:f>
        <x:v>0</x:v>
      </x:c>
      <x:c r="M17" s="5">
        <x:f>+K17+L17</x:f>
        <x:v>0</x:v>
      </x:c>
      <x:c r="N17" s="6"/>
    </x:row>
    <x:row r="18" spans="1:14" ht="20.100000000000001" customHeight="1">
      <x:c r="A18" s="300"/>
      <x:c r="B18" s="129" t="s">
        <x:v>1626</x:v>
      </x:c>
      <x:c r="C18" s="3" t="s">
        <x:v>1643</x:v>
      </x:c>
      <x:c r="D18" s="163">
        <x:v>1383190</x:v>
      </x:c>
      <x:c r="E18" s="4">
        <x:f>+D18*0.1+1</x:f>
        <x:v>138320</x:v>
      </x:c>
      <x:c r="F18" s="45">
        <x:f>+D18+E18</x:f>
        <x:v>1521510</x:v>
      </x:c>
      <x:c r="G18" s="6" t="s">
        <x:v>569</x:v>
      </x:c>
      <x:c r="H18" s="300"/>
      <x:c r="I18" s="3"/>
      <x:c r="J18" s="3"/>
      <x:c r="K18" s="4"/>
      <x:c r="L18" s="4">
        <x:f t="shared" si="0"/>
        <x:v>0</x:v>
      </x:c>
      <x:c r="M18" s="5">
        <x:f t="shared" si="1"/>
        <x:v>0</x:v>
      </x:c>
      <x:c r="N18" s="6"/>
    </x:row>
    <x:row r="19" spans="1:14" ht="20.100000000000001" customHeight="1">
      <x:c r="A19" s="7" t="s">
        <x:v>155</x:v>
      </x:c>
      <x:c r="B19" s="8"/>
      <x:c r="C19" s="8"/>
      <x:c r="D19" s="80">
        <x:f>SUM(D5:D18)</x:f>
        <x:v>147210422</x:v>
      </x:c>
      <x:c r="E19" s="9">
        <x:f>SUM(E5:E18)</x:f>
        <x:v>14721043.199999999</x:v>
      </x:c>
      <x:c r="F19" s="10">
        <x:f>SUM(F5:F18)</x:f>
        <x:v>161931465.19999999</x:v>
      </x:c>
      <x:c r="G19" s="11"/>
      <x:c r="H19" s="7"/>
      <x:c r="I19" s="8"/>
      <x:c r="J19" s="8"/>
      <x:c r="K19" s="9">
        <x:f>SUM(K5:K18)</x:f>
        <x:v>0</x:v>
      </x:c>
      <x:c r="L19" s="9">
        <x:f>SUM(L5:L18)</x:f>
        <x:v>0</x:v>
      </x:c>
      <x:c r="M19" s="10">
        <x:f>SUM(M5:M18)</x:f>
        <x:v>0</x:v>
      </x:c>
      <x:c r="N19" s="11"/>
    </x:row>
    <x:row r="20" spans="1:14" ht="20.100000000000001" customHeight="1">
      <x:c r="A20" s="301" t="s">
        <x:v>153</x:v>
      </x:c>
      <x:c r="B20" s="3" t="s">
        <x:v>1677</x:v>
      </x:c>
      <x:c r="C20" s="3" t="s">
        <x:v>1079</x:v>
      </x:c>
      <x:c r="D20" s="163">
        <x:v>38175000</x:v>
      </x:c>
      <x:c r="E20" s="44"/>
      <x:c r="F20" s="45">
        <x:f t="shared" ref="F20:F25" si="4">+D20+E20</x:f>
        <x:v>38175000</x:v>
      </x:c>
      <x:c r="G20" s="37"/>
      <x:c r="H20" s="301" t="s">
        <x:v>153</x:v>
      </x:c>
      <x:c r="I20" s="3" t="s">
        <x:v>1677</x:v>
      </x:c>
      <x:c r="J20" s="3"/>
      <x:c r="K20" s="4"/>
      <x:c r="L20" s="4"/>
      <x:c r="M20" s="5">
        <x:f t="shared" si="1"/>
        <x:v>0</x:v>
      </x:c>
      <x:c r="N20" s="6"/>
    </x:row>
    <x:row r="21" spans="1:14" ht="20.100000000000001" customHeight="1">
      <x:c r="A21" s="299"/>
      <x:c r="B21" s="3" t="s">
        <x:v>1241</x:v>
      </x:c>
      <x:c r="C21" s="3" t="s">
        <x:v>1389</x:v>
      </x:c>
      <x:c r="D21" s="163">
        <x:v>10670000</x:v>
      </x:c>
      <x:c r="E21" s="4"/>
      <x:c r="F21" s="5">
        <x:f t="shared" si="4"/>
        <x:v>10670000</x:v>
      </x:c>
      <x:c r="G21" s="37"/>
      <x:c r="H21" s="299"/>
      <x:c r="I21" s="3"/>
      <x:c r="J21" s="3"/>
      <x:c r="K21" s="4"/>
      <x:c r="L21" s="4">
        <x:f>+K21*0.1</x:f>
        <x:v>0</x:v>
      </x:c>
      <x:c r="M21" s="5">
        <x:f t="shared" si="1"/>
        <x:v>0</x:v>
      </x:c>
      <x:c r="N21" s="6"/>
    </x:row>
    <x:row r="22" spans="1:22" s="2" customFormat="1" ht="20.100000000000001" customHeight="1">
      <x:c r="A22" s="299"/>
      <x:c r="B22" s="3" t="s">
        <x:v>1241</x:v>
      </x:c>
      <x:c r="C22" s="3" t="s">
        <x:v>547</x:v>
      </x:c>
      <x:c r="D22" s="163">
        <x:v>57055000</x:v>
      </x:c>
      <x:c r="E22" s="4">
        <x:v>1000000</x:v>
      </x:c>
      <x:c r="F22" s="5">
        <x:f t="shared" si="4"/>
        <x:v>58055000</x:v>
      </x:c>
      <x:c r="G22" s="37"/>
      <x:c r="H22" s="299"/>
      <x:c r="I22" s="3"/>
      <x:c r="J22" s="3"/>
      <x:c r="K22" s="4"/>
      <x:c r="L22" s="4"/>
      <x:c r="M22" s="5">
        <x:f t="shared" si="1"/>
        <x:v>0</x:v>
      </x:c>
      <x:c r="N22" s="6"/>
      <x:c r="V22" s="1"/>
    </x:row>
    <x:row r="23" spans="1:22" s="2" customFormat="1" ht="20.100000000000001" customHeight="1">
      <x:c r="A23" s="299"/>
      <x:c r="B23" s="3" t="s">
        <x:v>1241</x:v>
      </x:c>
      <x:c r="C23" s="3" t="s">
        <x:v>168</x:v>
      </x:c>
      <x:c r="D23" s="163">
        <x:v>14685000</x:v>
      </x:c>
      <x:c r="E23" s="4"/>
      <x:c r="F23" s="5">
        <x:f t="shared" si="4"/>
        <x:v>14685000</x:v>
      </x:c>
      <x:c r="G23" s="37"/>
      <x:c r="H23" s="299"/>
      <x:c r="I23" s="3"/>
      <x:c r="J23" s="3"/>
      <x:c r="K23" s="4"/>
      <x:c r="L23" s="4"/>
      <x:c r="M23" s="5"/>
      <x:c r="N23" s="6"/>
      <x:c r="V23" s="1"/>
    </x:row>
    <x:row r="24" spans="1:22" s="2" customFormat="1" ht="20.100000000000001" customHeight="1">
      <x:c r="A24" s="299"/>
      <x:c r="B24" s="3" t="s">
        <x:v>1241</x:v>
      </x:c>
      <x:c r="C24" s="3" t="s">
        <x:v>1638</x:v>
      </x:c>
      <x:c r="D24" s="163">
        <x:v>2800000</x:v>
      </x:c>
      <x:c r="E24" s="4"/>
      <x:c r="F24" s="5">
        <x:f t="shared" si="4"/>
        <x:v>2800000</x:v>
      </x:c>
      <x:c r="G24" s="6"/>
      <x:c r="H24" s="299"/>
      <x:c r="I24" s="3"/>
      <x:c r="J24" s="3"/>
      <x:c r="K24" s="4"/>
      <x:c r="L24" s="4"/>
      <x:c r="M24" s="5">
        <x:f>+K24+L24</x:f>
        <x:v>0</x:v>
      </x:c>
      <x:c r="N24" s="6"/>
      <x:c r="V24" s="1"/>
    </x:row>
    <x:row r="25" spans="1:22" s="2" customFormat="1" ht="20.100000000000001" customHeight="1">
      <x:c r="A25" s="300"/>
      <x:c r="B25" s="3" t="s">
        <x:v>1241</x:v>
      </x:c>
      <x:c r="C25" s="3" t="s">
        <x:v>311</x:v>
      </x:c>
      <x:c r="D25" s="163"/>
      <x:c r="E25" s="4"/>
      <x:c r="F25" s="5">
        <x:f t="shared" si="4"/>
        <x:v>0</x:v>
      </x:c>
      <x:c r="G25" s="6"/>
      <x:c r="H25" s="300"/>
      <x:c r="I25" s="3"/>
      <x:c r="J25" s="3"/>
      <x:c r="K25" s="4"/>
      <x:c r="L25" s="4"/>
      <x:c r="M25" s="5">
        <x:f t="shared" si="1"/>
        <x:v>0</x:v>
      </x:c>
      <x:c r="N25" s="6"/>
      <x:c r="V25" s="1"/>
    </x:row>
    <x:row r="26" spans="1:22" s="2" customFormat="1" ht="20.100000000000001" customHeight="1">
      <x:c r="A26" s="7" t="s">
        <x:v>155</x:v>
      </x:c>
      <x:c r="B26" s="8"/>
      <x:c r="C26" s="8"/>
      <x:c r="D26" s="80">
        <x:f>SUM(D20:D25)</x:f>
        <x:v>123385000</x:v>
      </x:c>
      <x:c r="E26" s="9">
        <x:f>SUM(E20:E25)</x:f>
        <x:v>1000000</x:v>
      </x:c>
      <x:c r="F26" s="10">
        <x:f>SUM(F20:F25)</x:f>
        <x:v>124385000</x:v>
      </x:c>
      <x:c r="G26" s="11"/>
      <x:c r="H26" s="7"/>
      <x:c r="I26" s="8"/>
      <x:c r="J26" s="8"/>
      <x:c r="K26" s="9">
        <x:f>SUM(K20:K25)</x:f>
        <x:v>0</x:v>
      </x:c>
      <x:c r="L26" s="9">
        <x:f>SUM(L20:L25)</x:f>
        <x:v>0</x:v>
      </x:c>
      <x:c r="M26" s="10">
        <x:f>SUM(M20:M25)</x:f>
        <x:v>0</x:v>
      </x:c>
      <x:c r="N26" s="11"/>
      <x:c r="V26" s="1"/>
    </x:row>
    <x:row r="27" spans="1:22" s="2" customFormat="1" ht="20.100000000000001" customHeight="1">
      <x:c r="A27" s="301" t="s">
        <x:v>187</x:v>
      </x:c>
      <x:c r="B27" s="3" t="s">
        <x:v>1321</x:v>
      </x:c>
      <x:c r="C27" s="3" t="s">
        <x:v>948</x:v>
      </x:c>
      <x:c r="D27" s="163">
        <x:v>660000</x:v>
      </x:c>
      <x:c r="E27" s="4">
        <x:f>+D27*0.1</x:f>
        <x:v>66000</x:v>
      </x:c>
      <x:c r="F27" s="5">
        <x:f>+D27+E27</x:f>
        <x:v>726000</x:v>
      </x:c>
      <x:c r="G27" s="6"/>
      <x:c r="H27" s="301" t="s">
        <x:v>187</x:v>
      </x:c>
      <x:c r="I27" s="3"/>
      <x:c r="J27" s="3"/>
      <x:c r="K27" s="4"/>
      <x:c r="L27" s="4"/>
      <x:c r="M27" s="5">
        <x:f>+K27+L27</x:f>
        <x:v>0</x:v>
      </x:c>
      <x:c r="N27" s="6"/>
      <x:c r="V27" s="1"/>
    </x:row>
    <x:row r="28" spans="1:22" s="2" customFormat="1" ht="20.100000000000001" customHeight="1">
      <x:c r="A28" s="299"/>
      <x:c r="B28" s="3" t="s">
        <x:v>436</x:v>
      </x:c>
      <x:c r="C28" s="3" t="s">
        <x:v>1390</x:v>
      </x:c>
      <x:c r="D28" s="163">
        <x:v>540000</x:v>
      </x:c>
      <x:c r="E28" s="4">
        <x:f>+D28*0.1</x:f>
        <x:v>54000</x:v>
      </x:c>
      <x:c r="F28" s="5">
        <x:f>+D28+E28</x:f>
        <x:v>594000</x:v>
      </x:c>
      <x:c r="G28" s="6"/>
      <x:c r="H28" s="299"/>
      <x:c r="I28" s="3"/>
      <x:c r="J28" s="3"/>
      <x:c r="K28" s="4"/>
      <x:c r="L28" s="4"/>
      <x:c r="M28" s="5">
        <x:f>+K28+L28</x:f>
        <x:v>0</x:v>
      </x:c>
      <x:c r="N28" s="6"/>
      <x:c r="V28" s="1"/>
    </x:row>
    <x:row r="29" spans="1:22" s="2" customFormat="1" ht="20.100000000000001" customHeight="1">
      <x:c r="A29" s="299"/>
      <x:c r="B29" s="3" t="s">
        <x:v>1387</x:v>
      </x:c>
      <x:c r="C29" s="3" t="s">
        <x:v>157</x:v>
      </x:c>
      <x:c r="D29" s="163"/>
      <x:c r="E29" s="4"/>
      <x:c r="F29" s="5">
        <x:f>+D29+E29</x:f>
        <x:v>0</x:v>
      </x:c>
      <x:c r="G29" s="6"/>
      <x:c r="H29" s="299"/>
      <x:c r="I29" s="3"/>
      <x:c r="J29" s="3"/>
      <x:c r="K29" s="4"/>
      <x:c r="L29" s="4"/>
      <x:c r="M29" s="5">
        <x:f>+K29+L29</x:f>
        <x:v>0</x:v>
      </x:c>
      <x:c r="N29" s="6"/>
      <x:c r="V29" s="1"/>
    </x:row>
    <x:row r="30" spans="1:22" s="2" customFormat="1" ht="20.100000000000001" customHeight="1">
      <x:c r="A30" s="300"/>
      <x:c r="B30" s="3"/>
      <x:c r="C30" s="3"/>
      <x:c r="D30" s="163"/>
      <x:c r="E30" s="4"/>
      <x:c r="F30" s="5">
        <x:f>+D30+E30</x:f>
        <x:v>0</x:v>
      </x:c>
      <x:c r="G30" s="6"/>
      <x:c r="H30" s="300"/>
      <x:c r="I30" s="3"/>
      <x:c r="J30" s="3"/>
      <x:c r="K30" s="4"/>
      <x:c r="L30" s="4"/>
      <x:c r="M30" s="5">
        <x:f>+K30+L30</x:f>
        <x:v>0</x:v>
      </x:c>
      <x:c r="N30" s="6"/>
      <x:c r="V30" s="1"/>
    </x:row>
    <x:row r="31" spans="1:22" s="2" customFormat="1" ht="20.100000000000001" customHeight="1">
      <x:c r="A31" s="7" t="s">
        <x:v>155</x:v>
      </x:c>
      <x:c r="B31" s="8"/>
      <x:c r="C31" s="8"/>
      <x:c r="D31" s="80">
        <x:f>SUM(D27:D30)</x:f>
        <x:v>1200000</x:v>
      </x:c>
      <x:c r="E31" s="9">
        <x:f>SUM(E27:E30)</x:f>
        <x:v>120000</x:v>
      </x:c>
      <x:c r="F31" s="10">
        <x:f>SUM(F27:F30)</x:f>
        <x:v>1320000</x:v>
      </x:c>
      <x:c r="G31" s="11"/>
      <x:c r="H31" s="7"/>
      <x:c r="I31" s="8"/>
      <x:c r="J31" s="8"/>
      <x:c r="K31" s="9">
        <x:f>SUM(K27:K30)</x:f>
        <x:v>0</x:v>
      </x:c>
      <x:c r="L31" s="9">
        <x:f>SUM(L27:L30)</x:f>
        <x:v>0</x:v>
      </x:c>
      <x:c r="M31" s="10">
        <x:f>SUM(M27:M30)</x:f>
        <x:v>0</x:v>
      </x:c>
      <x:c r="N31" s="11"/>
      <x:c r="V31" s="1"/>
    </x:row>
    <x:row r="32" spans="1:22" s="2" customFormat="1" ht="20.100000000000001" customHeight="1">
      <x:c r="A32" s="301" t="s">
        <x:v>149</x:v>
      </x:c>
      <x:c r="B32" s="3" t="s">
        <x:v>185</x:v>
      </x:c>
      <x:c r="C32" s="3" t="s">
        <x:v>149</x:v>
      </x:c>
      <x:c r="D32" s="163">
        <x:v>3275610</x:v>
      </x:c>
      <x:c r="E32" s="44"/>
      <x:c r="F32" s="5">
        <x:f>+D32+E32</x:f>
        <x:v>3275610</x:v>
      </x:c>
      <x:c r="G32" s="6"/>
      <x:c r="H32" s="301" t="s">
        <x:v>149</x:v>
      </x:c>
      <x:c r="I32" s="3"/>
      <x:c r="J32" s="3" t="s">
        <x:v>149</x:v>
      </x:c>
      <x:c r="K32" s="4"/>
      <x:c r="L32" s="4"/>
      <x:c r="M32" s="5">
        <x:f t="shared" ref="M32:M40" si="5">+K32+L32</x:f>
        <x:v>0</x:v>
      </x:c>
      <x:c r="N32" s="6"/>
      <x:c r="V32" s="1"/>
    </x:row>
    <x:row r="33" spans="1:22" s="2" customFormat="1" ht="20.100000000000001" customHeight="1">
      <x:c r="A33" s="299"/>
      <x:c r="B33" s="3" t="s">
        <x:v>1274</x:v>
      </x:c>
      <x:c r="C33" s="3" t="s">
        <x:v>962</x:v>
      </x:c>
      <x:c r="D33" s="163">
        <x:v>452727</x:v>
      </x:c>
      <x:c r="E33" s="4">
        <x:f>+D33*0.1</x:f>
        <x:v>45272.700000000004</x:v>
      </x:c>
      <x:c r="F33" s="5">
        <x:f>+D33+E33</x:f>
        <x:v>497999.70000000001</x:v>
      </x:c>
      <x:c r="G33" s="6"/>
      <x:c r="H33" s="299"/>
      <x:c r="I33" s="3"/>
      <x:c r="J33" s="3"/>
      <x:c r="K33" s="4"/>
      <x:c r="L33" s="4">
        <x:f>+K33*0.1</x:f>
        <x:v>0</x:v>
      </x:c>
      <x:c r="M33" s="5">
        <x:f t="shared" si="5"/>
        <x:v>0</x:v>
      </x:c>
      <x:c r="N33" s="6"/>
      <x:c r="V33" s="1"/>
    </x:row>
    <x:row r="34" spans="1:22" s="2" customFormat="1" ht="20.100000000000001" customHeight="1">
      <x:c r="A34" s="299"/>
      <x:c r="B34" s="3" t="s">
        <x:v>1313</x:v>
      </x:c>
      <x:c r="C34" s="3" t="s">
        <x:v>825</x:v>
      </x:c>
      <x:c r="D34" s="163">
        <x:v>1435500</x:v>
      </x:c>
      <x:c r="E34" s="4">
        <x:f>+D34*0.1</x:f>
        <x:v>143550</x:v>
      </x:c>
      <x:c r="F34" s="5">
        <x:f t="shared" ref="F34:F42" si="6">+D34+E34</x:f>
        <x:v>1579050</x:v>
      </x:c>
      <x:c r="G34" s="6"/>
      <x:c r="H34" s="299"/>
      <x:c r="I34" s="3"/>
      <x:c r="J34" s="3"/>
      <x:c r="K34" s="4"/>
      <x:c r="L34" s="4">
        <x:f>+K34*0.1</x:f>
        <x:v>0</x:v>
      </x:c>
      <x:c r="M34" s="5">
        <x:f t="shared" si="5"/>
        <x:v>0</x:v>
      </x:c>
      <x:c r="N34" s="6"/>
      <x:c r="V34" s="1"/>
    </x:row>
    <x:row r="35" spans="1:22" s="2" customFormat="1" ht="20.100000000000001" customHeight="1">
      <x:c r="A35" s="299"/>
      <x:c r="B35" s="3" t="s">
        <x:v>994</x:v>
      </x:c>
      <x:c r="C35" s="3" t="s">
        <x:v>8</x:v>
      </x:c>
      <x:c r="D35" s="163">
        <x:v>420001</x:v>
      </x:c>
      <x:c r="E35" s="4">
        <x:v>41999</x:v>
      </x:c>
      <x:c r="F35" s="5">
        <x:f t="shared" si="6"/>
        <x:v>462000</x:v>
      </x:c>
      <x:c r="G35" s="6"/>
      <x:c r="H35" s="299"/>
      <x:c r="I35" s="3"/>
      <x:c r="J35" s="3"/>
      <x:c r="K35" s="4"/>
      <x:c r="L35" s="4"/>
      <x:c r="M35" s="5">
        <x:f t="shared" si="5"/>
        <x:v>0</x:v>
      </x:c>
      <x:c r="N35" s="6"/>
      <x:c r="V35" s="1"/>
    </x:row>
    <x:row r="36" spans="1:22" s="2" customFormat="1" ht="20.100000000000001" customHeight="1">
      <x:c r="A36" s="299"/>
      <x:c r="B36" s="3" t="s">
        <x:v>1680</x:v>
      </x:c>
      <x:c r="C36" s="3" t="s">
        <x:v>1695</x:v>
      </x:c>
      <x:c r="D36" s="163">
        <x:v>100000</x:v>
      </x:c>
      <x:c r="E36" s="4">
        <x:f>+D36*0.1</x:f>
        <x:v>10000</x:v>
      </x:c>
      <x:c r="F36" s="5">
        <x:f t="shared" si="6"/>
        <x:v>110000</x:v>
      </x:c>
      <x:c r="G36" s="6"/>
      <x:c r="H36" s="299"/>
      <x:c r="I36" s="3"/>
      <x:c r="J36" s="3"/>
      <x:c r="K36" s="4"/>
      <x:c r="L36" s="4">
        <x:f>+K36*0.1</x:f>
        <x:v>0</x:v>
      </x:c>
      <x:c r="M36" s="5">
        <x:f t="shared" si="5"/>
        <x:v>0</x:v>
      </x:c>
      <x:c r="N36" s="6"/>
      <x:c r="V36" s="1"/>
    </x:row>
    <x:row r="37" spans="1:22" s="2" customFormat="1" ht="20.100000000000001" customHeight="1">
      <x:c r="A37" s="299"/>
      <x:c r="B37" s="3" t="s">
        <x:v>247</x:v>
      </x:c>
      <x:c r="C37" s="3" t="s">
        <x:v>231</x:v>
      </x:c>
      <x:c r="D37" s="163">
        <x:f>3429+19597</x:f>
        <x:v>23026</x:v>
      </x:c>
      <x:c r="E37" s="4">
        <x:f>342+1959</x:f>
        <x:v>2301</x:v>
      </x:c>
      <x:c r="F37" s="5">
        <x:f t="shared" si="6"/>
        <x:v>25327</x:v>
      </x:c>
      <x:c r="G37" s="146" t="s">
        <x:v>1451</x:v>
      </x:c>
      <x:c r="H37" s="299"/>
      <x:c r="I37" s="3"/>
      <x:c r="J37" s="3"/>
      <x:c r="K37" s="4"/>
      <x:c r="L37" s="4">
        <x:f>+K37*0.1</x:f>
        <x:v>0</x:v>
      </x:c>
      <x:c r="M37" s="5">
        <x:f t="shared" si="5"/>
        <x:v>0</x:v>
      </x:c>
      <x:c r="N37" s="6"/>
      <x:c r="V37" s="1"/>
    </x:row>
    <x:row r="38" spans="1:22" s="2" customFormat="1" ht="20.100000000000001" customHeight="1">
      <x:c r="A38" s="299"/>
      <x:c r="B38" s="3" t="s">
        <x:v>1304</x:v>
      </x:c>
      <x:c r="C38" s="3" t="s">
        <x:v>167</x:v>
      </x:c>
      <x:c r="D38" s="163">
        <x:v>304000</x:v>
      </x:c>
      <x:c r="E38" s="4">
        <x:f>+D38*0.1</x:f>
        <x:v>30400</x:v>
      </x:c>
      <x:c r="F38" s="5">
        <x:f t="shared" si="6"/>
        <x:v>334400</x:v>
      </x:c>
      <x:c r="G38" s="146"/>
      <x:c r="H38" s="299"/>
      <x:c r="I38" s="3"/>
      <x:c r="J38" s="3"/>
      <x:c r="K38" s="4"/>
      <x:c r="L38" s="209">
        <x:f>+INT(K38*0.1)</x:f>
        <x:v>0</x:v>
      </x:c>
      <x:c r="M38" s="5">
        <x:f t="shared" si="5"/>
        <x:v>0</x:v>
      </x:c>
      <x:c r="N38" s="6"/>
      <x:c r="V38" s="1"/>
    </x:row>
    <x:row r="39" spans="1:22" s="2" customFormat="1" ht="20.100000000000001" customHeight="1">
      <x:c r="A39" s="299"/>
      <x:c r="B39" s="3" t="s">
        <x:v>238</x:v>
      </x:c>
      <x:c r="C39" s="3" t="s">
        <x:v>405</x:v>
      </x:c>
      <x:c r="D39" s="4">
        <x:v>420000</x:v>
      </x:c>
      <x:c r="E39" s="4"/>
      <x:c r="F39" s="5">
        <x:f t="shared" si="6"/>
        <x:v>420000</x:v>
      </x:c>
      <x:c r="G39" s="146" t="s">
        <x:v>185</x:v>
      </x:c>
      <x:c r="H39" s="299"/>
      <x:c r="I39" s="3"/>
      <x:c r="J39" s="3"/>
      <x:c r="K39" s="4"/>
      <x:c r="L39" s="209"/>
      <x:c r="M39" s="5">
        <x:f t="shared" si="5"/>
        <x:v>0</x:v>
      </x:c>
      <x:c r="N39" s="6"/>
      <x:c r="V39" s="1"/>
    </x:row>
    <x:row r="40" spans="1:22" s="2" customFormat="1" ht="20.100000000000001" customHeight="1">
      <x:c r="A40" s="299"/>
      <x:c r="B40" s="3" t="s">
        <x:v>270</x:v>
      </x:c>
      <x:c r="C40" s="3" t="s">
        <x:v>134</x:v>
      </x:c>
      <x:c r="D40" s="4">
        <x:v>290000</x:v>
      </x:c>
      <x:c r="E40" s="4"/>
      <x:c r="F40" s="5">
        <x:f t="shared" si="6"/>
        <x:v>290000</x:v>
      </x:c>
      <x:c r="G40" s="146"/>
      <x:c r="H40" s="299"/>
      <x:c r="I40" s="3"/>
      <x:c r="J40" s="3"/>
      <x:c r="K40" s="4"/>
      <x:c r="L40" s="4">
        <x:f>+K40*0.1</x:f>
        <x:v>0</x:v>
      </x:c>
      <x:c r="M40" s="5">
        <x:f t="shared" si="5"/>
        <x:v>0</x:v>
      </x:c>
      <x:c r="N40" s="6"/>
      <x:c r="V40" s="1"/>
    </x:row>
    <x:row r="41" spans="1:22" s="2" customFormat="1" ht="20.100000000000001" customHeight="1">
      <x:c r="A41" s="299"/>
      <x:c r="B41" s="3" t="s">
        <x:v>1635</x:v>
      </x:c>
      <x:c r="C41" s="3" t="s">
        <x:v>1636</x:v>
      </x:c>
      <x:c r="D41" s="163">
        <x:f>134460+13440</x:f>
        <x:v>147900</x:v>
      </x:c>
      <x:c r="E41" s="4">
        <x:v>28840</x:v>
      </x:c>
      <x:c r="F41" s="5">
        <x:f t="shared" si="6"/>
        <x:v>176740</x:v>
      </x:c>
      <x:c r="G41" s="146" t="s">
        <x:v>1637</x:v>
      </x:c>
      <x:c r="H41" s="299"/>
      <x:c r="I41" s="3"/>
      <x:c r="J41" s="3"/>
      <x:c r="K41" s="4"/>
      <x:c r="L41" s="4"/>
      <x:c r="M41" s="5"/>
      <x:c r="N41" s="6"/>
      <x:c r="V41" s="1"/>
    </x:row>
    <x:row r="42" spans="1:22" s="2" customFormat="1" ht="20.100000000000001" customHeight="1">
      <x:c r="A42" s="300"/>
      <x:c r="B42" s="3" t="s">
        <x:v>926</x:v>
      </x:c>
      <x:c r="C42" s="3" t="s">
        <x:v>404</x:v>
      </x:c>
      <x:c r="D42" s="163">
        <x:f>385340*0.34</x:f>
        <x:v>131015.60000000001</x:v>
      </x:c>
      <x:c r="E42" s="4"/>
      <x:c r="F42" s="5">
        <x:f t="shared" si="6"/>
        <x:v>131015.60000000001</x:v>
      </x:c>
      <x:c r="G42" s="6"/>
      <x:c r="H42" s="300"/>
      <x:c r="I42" s="3"/>
      <x:c r="J42" s="3"/>
      <x:c r="K42" s="4"/>
      <x:c r="L42" s="4"/>
      <x:c r="M42" s="5">
        <x:f>+K42+L42</x:f>
        <x:v>0</x:v>
      </x:c>
      <x:c r="N42" s="6"/>
      <x:c r="V42" s="1"/>
    </x:row>
    <x:row r="43" spans="1:22" s="2" customFormat="1" ht="20.100000000000001" customHeight="1">
      <x:c r="A43" s="7" t="s">
        <x:v>155</x:v>
      </x:c>
      <x:c r="B43" s="8"/>
      <x:c r="C43" s="8"/>
      <x:c r="D43" s="9">
        <x:f>SUM(D32:D42)</x:f>
        <x:v>6999779.5999999996</x:v>
      </x:c>
      <x:c r="E43" s="9">
        <x:f>SUM(E32:E42)</x:f>
        <x:v>302362.70000000001</x:v>
      </x:c>
      <x:c r="F43" s="10">
        <x:f>SUM(F32:F42)</x:f>
        <x:v>7302142.2999999998</x:v>
      </x:c>
      <x:c r="G43" s="11"/>
      <x:c r="H43" s="7"/>
      <x:c r="I43" s="8"/>
      <x:c r="J43" s="8"/>
      <x:c r="K43" s="9">
        <x:f>SUM(K32:K42)</x:f>
        <x:v>0</x:v>
      </x:c>
      <x:c r="L43" s="9">
        <x:f>SUM(L32:L42)</x:f>
        <x:v>0</x:v>
      </x:c>
      <x:c r="M43" s="10">
        <x:f>SUM(M32:M42)</x:f>
        <x:v>0</x:v>
      </x:c>
      <x:c r="N43" s="11"/>
      <x:c r="V43" s="1"/>
    </x:row>
    <x:row r="44" spans="1:22" s="2" customFormat="1" ht="20.100000000000001" customHeight="1">
      <x:c r="A44" s="12" t="s">
        <x:v>1690</x:v>
      </x:c>
      <x:c r="B44" s="13"/>
      <x:c r="C44" s="13"/>
      <x:c r="D44" s="14">
        <x:f>+D19+D26+D31+D43</x:f>
        <x:v>278795201.60000002</x:v>
      </x:c>
      <x:c r="E44" s="14">
        <x:f>+E19+E26+E31+E43</x:f>
        <x:v>16143405.899999999</x:v>
      </x:c>
      <x:c r="F44" s="15">
        <x:f>+F19+F26+F31+F43</x:f>
        <x:v>294938607.5</x:v>
      </x:c>
      <x:c r="G44" s="16"/>
      <x:c r="H44" s="12"/>
      <x:c r="I44" s="13"/>
      <x:c r="J44" s="13"/>
      <x:c r="K44" s="14">
        <x:f>+K19+K26+K31+K43</x:f>
        <x:v>0</x:v>
      </x:c>
      <x:c r="L44" s="14">
        <x:f>+L19+L26+L31+L43</x:f>
        <x:v>0</x:v>
      </x:c>
      <x:c r="M44" s="15">
        <x:f>+M19+M26+M31+M43</x:f>
        <x:v>0</x:v>
      </x:c>
      <x:c r="N44" s="16"/>
      <x:c r="V44" s="1"/>
    </x:row>
    <x:row r="45" spans="1:22" s="2" customFormat="1" ht="20.100000000000001" customHeight="1">
      <x:c r="A45" s="23" t="s">
        <x:v>35</x:v>
      </x:c>
      <x:c r="B45" s="24"/>
      <x:c r="C45" s="24"/>
      <x:c r="D45" s="25">
        <x:f>+D4-D44</x:f>
        <x:v>264294798.39999998</x:v>
      </x:c>
      <x:c r="E45" s="25">
        <x:f>+E4-E44</x:f>
        <x:v>766594.10000000149</x:v>
      </x:c>
      <x:c r="F45" s="26">
        <x:f>+F4-F44</x:f>
        <x:v>265061392.5</x:v>
      </x:c>
      <x:c r="G45" s="27"/>
      <x:c r="H45" s="23"/>
      <x:c r="I45" s="24"/>
      <x:c r="J45" s="24"/>
      <x:c r="K45" s="25">
        <x:f>+K4-K44</x:f>
        <x:v>0</x:v>
      </x:c>
      <x:c r="L45" s="25">
        <x:f>+L4-L44</x:f>
        <x:v>0</x:v>
      </x:c>
      <x:c r="M45" s="26">
        <x:f>+M4-M44</x:f>
        <x:v>0</x:v>
      </x:c>
      <x:c r="N45" s="27"/>
      <x:c r="V45" s="1"/>
    </x:row>
    <x:row r="46" spans="1:22" s="2" customFormat="1" ht="20.100000000000001" customHeight="1">
      <x:c r="A46" s="302" t="s">
        <x:v>410</x:v>
      </x:c>
      <x:c r="B46" s="303"/>
      <x:c r="C46" s="303"/>
      <x:c r="D46" s="303"/>
      <x:c r="E46" s="303"/>
      <x:c r="F46" s="304"/>
      <x:c r="G46" s="305"/>
      <x:c r="H46" s="302" t="s">
        <x:v>789</x:v>
      </x:c>
      <x:c r="I46" s="303"/>
      <x:c r="J46" s="303"/>
      <x:c r="K46" s="303"/>
      <x:c r="L46" s="303"/>
      <x:c r="M46" s="304"/>
      <x:c r="N46" s="305"/>
      <x:c r="V46" s="1"/>
    </x:row>
    <x:row r="47" spans="1:22" s="2" customFormat="1" ht="20.100000000000001" customHeight="1">
      <x:c r="A47" s="29" t="s">
        <x:v>147</x:v>
      </x:c>
      <x:c r="B47" s="239" t="s">
        <x:v>144</x:v>
      </x:c>
      <x:c r="C47" s="239" t="s">
        <x:v>150</x:v>
      </x:c>
      <x:c r="D47" s="31" t="s">
        <x:v>145</x:v>
      </x:c>
      <x:c r="E47" s="31" t="s">
        <x:v>152</x:v>
      </x:c>
      <x:c r="F47" s="31" t="s">
        <x:v>146</x:v>
      </x:c>
      <x:c r="G47" s="34" t="s">
        <x:v>154</x:v>
      </x:c>
      <x:c r="H47" s="29" t="s">
        <x:v>147</x:v>
      </x:c>
      <x:c r="I47" s="239" t="s">
        <x:v>144</x:v>
      </x:c>
      <x:c r="J47" s="239" t="s">
        <x:v>150</x:v>
      </x:c>
      <x:c r="K47" s="31" t="s">
        <x:v>145</x:v>
      </x:c>
      <x:c r="L47" s="31" t="s">
        <x:v>152</x:v>
      </x:c>
      <x:c r="M47" s="32" t="s">
        <x:v>146</x:v>
      </x:c>
      <x:c r="N47" s="33" t="s">
        <x:v>154</x:v>
      </x:c>
      <x:c r="V47" s="1"/>
    </x:row>
    <x:row r="48" spans="1:22" s="2" customFormat="1" ht="20.100000000000001" customHeight="1">
      <x:c r="A48" s="41" t="s">
        <x:v>151</x:v>
      </x:c>
      <x:c r="B48" s="149" t="s">
        <x:v>1679</x:v>
      </x:c>
      <x:c r="C48" s="149" t="s">
        <x:v>488</x:v>
      </x:c>
      <x:c r="D48" s="150">
        <x:v>154300000</x:v>
      </x:c>
      <x:c r="E48" s="150">
        <x:f t="shared" ref="E48:E53" si="7">+D48*0.1</x:f>
        <x:v>15430000</x:v>
      </x:c>
      <x:c r="F48" s="40">
        <x:f>+D48+E48</x:f>
        <x:v>169730000</x:v>
      </x:c>
      <x:c r="G48" s="42" t="s">
        <x:v>432</x:v>
      </x:c>
      <x:c r="H48" s="238" t="s">
        <x:v>151</x:v>
      </x:c>
      <x:c r="I48" s="38" t="s">
        <x:v>1679</x:v>
      </x:c>
      <x:c r="J48" s="38" t="s">
        <x:v>156</x:v>
      </x:c>
      <x:c r="K48" s="39">
        <x:v>916000000</x:v>
      </x:c>
      <x:c r="L48" s="39">
        <x:f>+K48*0.1</x:f>
        <x:v>91600000</x:v>
      </x:c>
      <x:c r="M48" s="40">
        <x:f t="shared" ref="M48:M55" si="8">+K48+L48</x:f>
        <x:v>1007600000</x:v>
      </x:c>
      <x:c r="N48" s="18" t="s">
        <x:v>1588</x:v>
      </x:c>
      <x:c r="V48" s="1"/>
    </x:row>
    <x:row r="49" spans="1:22" s="2" customFormat="1" ht="20.100000000000001" customHeight="1">
      <x:c r="A49" s="298" t="s">
        <x:v>148</x:v>
      </x:c>
      <x:c r="B49" s="147" t="s">
        <x:v>867</x:v>
      </x:c>
      <x:c r="C49" s="3" t="s">
        <x:v>369</x:v>
      </x:c>
      <x:c r="D49" s="201">
        <x:v>5426400</x:v>
      </x:c>
      <x:c r="E49" s="201">
        <x:f t="shared" si="7"/>
        <x:v>542640</x:v>
      </x:c>
      <x:c r="F49" s="251">
        <x:f t="shared" ref="F49:F51" si="9">+D49+E49</x:f>
        <x:v>5969040</x:v>
      </x:c>
      <x:c r="G49" s="252"/>
      <x:c r="H49" s="298" t="s">
        <x:v>148</x:v>
      </x:c>
      <x:c r="I49" s="54" t="s">
        <x:v>867</x:v>
      </x:c>
      <x:c r="J49" s="54" t="s">
        <x:v>440</x:v>
      </x:c>
      <x:c r="K49" s="259">
        <x:v>13167000</x:v>
      </x:c>
      <x:c r="L49" s="259">
        <x:f>+K49*0.1</x:f>
        <x:v>1316700</x:v>
      </x:c>
      <x:c r="M49" s="241">
        <x:f t="shared" si="8"/>
        <x:v>14483700</x:v>
      </x:c>
      <x:c r="N49" s="177" t="s">
        <x:v>1611</x:v>
      </x:c>
      <x:c r="V49" s="1"/>
    </x:row>
    <x:row r="50" spans="1:22" s="2" customFormat="1" ht="20.100000000000001" customHeight="1">
      <x:c r="A50" s="299"/>
      <x:c r="B50" s="243" t="s">
        <x:v>867</x:v>
      </x:c>
      <x:c r="C50" s="244" t="s">
        <x:v>369</x:v>
      </x:c>
      <x:c r="D50" s="245">
        <x:v>220500</x:v>
      </x:c>
      <x:c r="E50" s="246">
        <x:f t="shared" si="7"/>
        <x:v>22050</x:v>
      </x:c>
      <x:c r="F50" s="247">
        <x:f t="shared" si="9"/>
        <x:v>242550</x:v>
      </x:c>
      <x:c r="G50" s="248" t="s">
        <x:v>1520</x:v>
      </x:c>
      <x:c r="H50" s="299"/>
      <x:c r="I50" s="162" t="s">
        <x:v>1348</x:v>
      </x:c>
      <x:c r="J50" s="262" t="s">
        <x:v>574</x:v>
      </x:c>
      <x:c r="K50" s="163">
        <x:v>395600</x:v>
      </x:c>
      <x:c r="L50" s="163">
        <x:f>+K50*0.1</x:f>
        <x:v>39560</x:v>
      </x:c>
      <x:c r="M50" s="164">
        <x:f t="shared" si="8"/>
        <x:v>435160</x:v>
      </x:c>
      <x:c r="N50" s="158"/>
      <x:c r="V50" s="1"/>
    </x:row>
    <x:row r="51" spans="1:22" s="2" customFormat="1" ht="20.100000000000001" customHeight="1">
      <x:c r="A51" s="299"/>
      <x:c r="B51" s="260" t="s">
        <x:v>867</x:v>
      </x:c>
      <x:c r="C51" s="155" t="s">
        <x:v>369</x:v>
      </x:c>
      <x:c r="D51" s="156">
        <x:v>2170000</x:v>
      </x:c>
      <x:c r="E51" s="156">
        <x:f t="shared" si="7"/>
        <x:v>217000</x:v>
      </x:c>
      <x:c r="F51" s="157">
        <x:f t="shared" si="9"/>
        <x:v>2387000</x:v>
      </x:c>
      <x:c r="G51" s="158" t="s">
        <x:v>1611</x:v>
      </x:c>
      <x:c r="H51" s="299"/>
      <x:c r="I51" s="3" t="s">
        <x:v>838</x:v>
      </x:c>
      <x:c r="J51" s="129" t="s">
        <x:v>1116</x:v>
      </x:c>
      <x:c r="K51" s="163">
        <x:v>3882500</x:v>
      </x:c>
      <x:c r="L51" s="4">
        <x:f>+K51*0.1</x:f>
        <x:v>388250</x:v>
      </x:c>
      <x:c r="M51" s="5">
        <x:f t="shared" si="8"/>
        <x:v>4270750</x:v>
      </x:c>
      <x:c r="N51" s="6"/>
      <x:c r="V51" s="1"/>
    </x:row>
    <x:row r="52" spans="1:22" s="2" customFormat="1" ht="20.100000000000001" customHeight="1">
      <x:c r="A52" s="299"/>
      <x:c r="B52" s="147" t="s">
        <x:v>1443</x:v>
      </x:c>
      <x:c r="C52" s="3" t="s">
        <x:v>179</x:v>
      </x:c>
      <x:c r="D52" s="163">
        <x:v>7011650</x:v>
      </x:c>
      <x:c r="E52" s="4">
        <x:f t="shared" si="7"/>
        <x:v>701165</x:v>
      </x:c>
      <x:c r="F52" s="5">
        <x:f t="shared" ref="F52:F60" si="10">+D52+E52</x:f>
        <x:v>7712815</x:v>
      </x:c>
      <x:c r="G52" s="6"/>
      <x:c r="H52" s="299"/>
      <x:c r="I52" s="3" t="s">
        <x:v>1119</x:v>
      </x:c>
      <x:c r="J52" s="129" t="s">
        <x:v>1386</x:v>
      </x:c>
      <x:c r="K52" s="163">
        <x:v>2140000</x:v>
      </x:c>
      <x:c r="L52" s="163">
        <x:f>+K52*0.1</x:f>
        <x:v>214000</x:v>
      </x:c>
      <x:c r="M52" s="164">
        <x:f t="shared" si="8"/>
        <x:v>2354000</x:v>
      </x:c>
      <x:c r="N52" s="37"/>
      <x:c r="V52" s="1"/>
    </x:row>
    <x:row r="53" spans="1:22" s="2" customFormat="1" ht="20.100000000000001" customHeight="1">
      <x:c r="A53" s="299"/>
      <x:c r="B53" s="3" t="s">
        <x:v>1315</x:v>
      </x:c>
      <x:c r="C53" s="3" t="s">
        <x:v>1711</x:v>
      </x:c>
      <x:c r="D53" s="163">
        <x:v>1873850</x:v>
      </x:c>
      <x:c r="E53" s="4">
        <x:f t="shared" si="7"/>
        <x:v>187385</x:v>
      </x:c>
      <x:c r="F53" s="5">
        <x:f t="shared" si="10"/>
        <x:v>2061235</x:v>
      </x:c>
      <x:c r="G53" s="6"/>
      <x:c r="H53" s="299"/>
      <x:c r="I53" s="3" t="s">
        <x:v>938</x:v>
      </x:c>
      <x:c r="J53" s="129"/>
      <x:c r="K53" s="163"/>
      <x:c r="L53" s="4"/>
      <x:c r="M53" s="5">
        <x:f t="shared" si="8"/>
        <x:v>0</x:v>
      </x:c>
      <x:c r="N53" s="6" t="s">
        <x:v>1431</x:v>
      </x:c>
      <x:c r="V53" s="1"/>
    </x:row>
    <x:row r="54" spans="1:22" s="2" customFormat="1" ht="20.100000000000001" customHeight="1">
      <x:c r="A54" s="299"/>
      <x:c r="B54" s="3" t="s">
        <x:v>1627</x:v>
      </x:c>
      <x:c r="C54" s="3"/>
      <x:c r="D54" s="156"/>
      <x:c r="E54" s="156"/>
      <x:c r="F54" s="157">
        <x:f t="shared" si="10"/>
        <x:v>0</x:v>
      </x:c>
      <x:c r="G54" s="37"/>
      <x:c r="H54" s="299"/>
      <x:c r="I54" s="3" t="s">
        <x:v>864</x:v>
      </x:c>
      <x:c r="J54" s="129" t="s">
        <x:v>449</x:v>
      </x:c>
      <x:c r="K54" s="163">
        <x:v>10168520</x:v>
      </x:c>
      <x:c r="L54" s="4">
        <x:f>+K54*0.1</x:f>
        <x:v>1016852</x:v>
      </x:c>
      <x:c r="M54" s="5">
        <x:f t="shared" si="8"/>
        <x:v>11185372</x:v>
      </x:c>
      <x:c r="N54" s="6"/>
      <x:c r="V54" s="1"/>
    </x:row>
    <x:row r="55" spans="1:22" s="2" customFormat="1" ht="20.100000000000001" customHeight="1">
      <x:c r="A55" s="299"/>
      <x:c r="B55" s="3" t="s">
        <x:v>1348</x:v>
      </x:c>
      <x:c r="C55" s="3" t="s">
        <x:v>576</x:v>
      </x:c>
      <x:c r="D55" s="163">
        <x:v>265000</x:v>
      </x:c>
      <x:c r="E55" s="4">
        <x:f>+D55*0.1</x:f>
        <x:v>26500</x:v>
      </x:c>
      <x:c r="F55" s="5">
        <x:f t="shared" si="10"/>
        <x:v>291500</x:v>
      </x:c>
      <x:c r="G55" s="6"/>
      <x:c r="H55" s="299"/>
      <x:c r="I55" s="3" t="s">
        <x:v>1058</x:v>
      </x:c>
      <x:c r="J55" s="129" t="s">
        <x:v>554</x:v>
      </x:c>
      <x:c r="K55" s="163">
        <x:v>27594270</x:v>
      </x:c>
      <x:c r="L55" s="163">
        <x:f>+K55*0.1</x:f>
        <x:v>2759427</x:v>
      </x:c>
      <x:c r="M55" s="164">
        <x:f t="shared" si="8"/>
        <x:v>30353697</x:v>
      </x:c>
      <x:c r="N55" s="6"/>
      <x:c r="V55" s="1"/>
    </x:row>
    <x:row r="56" spans="1:22" s="2" customFormat="1" ht="20.100000000000001" customHeight="1">
      <x:c r="A56" s="299"/>
      <x:c r="B56" s="3" t="s">
        <x:v>864</x:v>
      </x:c>
      <x:c r="C56" s="3" t="s">
        <x:v>563</x:v>
      </x:c>
      <x:c r="D56" s="163">
        <x:v>416160</x:v>
      </x:c>
      <x:c r="E56" s="4">
        <x:f>+D56*0.1</x:f>
        <x:v>41616</x:v>
      </x:c>
      <x:c r="F56" s="5">
        <x:f t="shared" si="10"/>
        <x:v>457776</x:v>
      </x:c>
      <x:c r="G56" s="6"/>
      <x:c r="H56" s="299"/>
      <x:c r="I56" s="3" t="s">
        <x:v>1378</x:v>
      </x:c>
      <x:c r="J56" s="129" t="s">
        <x:v>1254</x:v>
      </x:c>
      <x:c r="K56" s="163">
        <x:v>1111060</x:v>
      </x:c>
      <x:c r="L56" s="4">
        <x:f>+K56*0.1</x:f>
        <x:v>111106</x:v>
      </x:c>
      <x:c r="M56" s="5">
        <x:f>+K56+L56</x:f>
        <x:v>1222166</x:v>
      </x:c>
      <x:c r="N56" s="6"/>
      <x:c r="V56" s="1"/>
    </x:row>
    <x:row r="57" spans="1:22" s="2" customFormat="1" ht="20.100000000000001" customHeight="1">
      <x:c r="A57" s="299"/>
      <x:c r="B57" s="244" t="s">
        <x:v>864</x:v>
      </x:c>
      <x:c r="C57" s="244" t="s">
        <x:v>445</x:v>
      </x:c>
      <x:c r="D57" s="249"/>
      <x:c r="E57" s="247"/>
      <x:c r="F57" s="250">
        <x:f t="shared" si="10"/>
        <x:v>0</x:v>
      </x:c>
      <x:c r="G57" s="248" t="s">
        <x:v>1520</x:v>
      </x:c>
      <x:c r="H57" s="299"/>
      <x:c r="I57" s="3" t="s">
        <x:v>1315</x:v>
      </x:c>
      <x:c r="J57" s="129"/>
      <x:c r="K57" s="163"/>
      <x:c r="L57" s="4"/>
      <x:c r="M57" s="5">
        <x:f>+K57+L57</x:f>
        <x:v>0</x:v>
      </x:c>
      <x:c r="N57" s="6"/>
      <x:c r="V57" s="1"/>
    </x:row>
    <x:row r="58" spans="1:22" s="2" customFormat="1" ht="20.100000000000001" customHeight="1">
      <x:c r="A58" s="299"/>
      <x:c r="B58" s="3" t="s">
        <x:v>228</x:v>
      </x:c>
      <x:c r="C58" s="3" t="s">
        <x:v>572</x:v>
      </x:c>
      <x:c r="D58" s="163">
        <x:v>1346500</x:v>
      </x:c>
      <x:c r="E58" s="4">
        <x:f>+D58*0.1</x:f>
        <x:v>134650</x:v>
      </x:c>
      <x:c r="F58" s="5">
        <x:f t="shared" si="10"/>
        <x:v>1481150</x:v>
      </x:c>
      <x:c r="G58" s="6"/>
      <x:c r="H58" s="299"/>
      <x:c r="I58" s="3" t="s">
        <x:v>846</x:v>
      </x:c>
      <x:c r="J58" s="129" t="s">
        <x:v>1613</x:v>
      </x:c>
      <x:c r="K58" s="163">
        <x:v>1686600</x:v>
      </x:c>
      <x:c r="L58" s="4">
        <x:f>+K58*0.1</x:f>
        <x:v>168660</x:v>
      </x:c>
      <x:c r="M58" s="5">
        <x:f>+K58+L58</x:f>
        <x:v>1855260</x:v>
      </x:c>
      <x:c r="N58" s="6"/>
      <x:c r="V58" s="1"/>
    </x:row>
    <x:row r="59" spans="1:22" s="2" customFormat="1" ht="20.100000000000001" customHeight="1">
      <x:c r="A59" s="299"/>
      <x:c r="B59" s="3" t="s">
        <x:v>1319</x:v>
      </x:c>
      <x:c r="C59" s="3" t="s">
        <x:v>1295</x:v>
      </x:c>
      <x:c r="D59" s="163">
        <x:v>42000</x:v>
      </x:c>
      <x:c r="E59" s="4">
        <x:f>+D59*0.1</x:f>
        <x:v>4200</x:v>
      </x:c>
      <x:c r="F59" s="5">
        <x:f t="shared" si="10"/>
        <x:v>46200</x:v>
      </x:c>
      <x:c r="G59" s="6"/>
      <x:c r="H59" s="299"/>
      <x:c r="I59" s="3" t="s">
        <x:v>854</x:v>
      </x:c>
      <x:c r="J59" s="129"/>
      <x:c r="K59" s="163"/>
      <x:c r="L59" s="4"/>
      <x:c r="M59" s="5">
        <x:f>+K59+L59</x:f>
        <x:v>0</x:v>
      </x:c>
      <x:c r="N59" s="6"/>
      <x:c r="V59" s="1"/>
    </x:row>
    <x:row r="60" spans="1:22" s="2" customFormat="1" ht="20.100000000000001" customHeight="1">
      <x:c r="A60" s="299"/>
      <x:c r="B60" s="3" t="s">
        <x:v>1453</x:v>
      </x:c>
      <x:c r="C60" s="3" t="s">
        <x:v>1634</x:v>
      </x:c>
      <x:c r="D60" s="163">
        <x:v>1594000</x:v>
      </x:c>
      <x:c r="E60" s="163">
        <x:f>+D60*0.1</x:f>
        <x:v>159400</x:v>
      </x:c>
      <x:c r="F60" s="164">
        <x:f t="shared" si="10"/>
        <x:v>1753400</x:v>
      </x:c>
      <x:c r="G60" s="37"/>
      <x:c r="H60" s="299"/>
      <x:c r="I60" s="3" t="s">
        <x:v>1612</x:v>
      </x:c>
      <x:c r="J60" s="129" t="s">
        <x:v>244</x:v>
      </x:c>
      <x:c r="K60" s="156">
        <x:v>250000000</x:v>
      </x:c>
      <x:c r="L60" s="156">
        <x:f>+K60*0.1</x:f>
        <x:v>25000000</x:v>
      </x:c>
      <x:c r="M60" s="157">
        <x:f>+K60+L60</x:f>
        <x:v>275000000</x:v>
      </x:c>
      <x:c r="N60" s="6" t="s">
        <x:v>131</x:v>
      </x:c>
      <x:c r="V60" s="1"/>
    </x:row>
    <x:row r="61" spans="1:22" s="2" customFormat="1" ht="20.100000000000001" customHeight="1">
      <x:c r="A61" s="299"/>
      <x:c r="B61" s="3" t="s">
        <x:v>483</x:v>
      </x:c>
      <x:c r="C61" s="3" t="s">
        <x:v>575</x:v>
      </x:c>
      <x:c r="D61" s="227">
        <x:v>1538700</x:v>
      </x:c>
      <x:c r="E61" s="163">
        <x:f>+D61*0.1</x:f>
        <x:v>153870</x:v>
      </x:c>
      <x:c r="F61" s="164">
        <x:f>+D61+E61</x:f>
        <x:v>1692570</x:v>
      </x:c>
      <x:c r="G61" s="37"/>
      <x:c r="H61" s="299"/>
      <x:c r="I61" s="3" t="s">
        <x:v>1639</x:v>
      </x:c>
      <x:c r="J61" s="129" t="s">
        <x:v>1419</x:v>
      </x:c>
      <x:c r="K61" s="163">
        <x:v>590909</x:v>
      </x:c>
      <x:c r="L61" s="4">
        <x:f>+K61*0.1</x:f>
        <x:v>59090.900000000001</x:v>
      </x:c>
      <x:c r="M61" s="5">
        <x:f>+K61+L61</x:f>
        <x:v>649999.90000000002</x:v>
      </x:c>
      <x:c r="N61" s="6" t="s">
        <x:v>1617</x:v>
      </x:c>
      <x:c r="V61" s="1"/>
    </x:row>
    <x:row r="62" spans="1:22" s="2" customFormat="1" ht="20.100000000000001" customHeight="1">
      <x:c r="A62" s="299"/>
      <x:c r="B62" s="147" t="s">
        <x:v>1443</x:v>
      </x:c>
      <x:c r="C62" s="3" t="s">
        <x:v>1005</x:v>
      </x:c>
      <x:c r="D62" s="227">
        <x:v>635000</x:v>
      </x:c>
      <x:c r="E62" s="4">
        <x:f>+D62*0.1</x:f>
        <x:v>63500</x:v>
      </x:c>
      <x:c r="F62" s="5">
        <x:f>+D62+E62</x:f>
        <x:v>698500</x:v>
      </x:c>
      <x:c r="G62" s="179" t="s">
        <x:v>1423</x:v>
      </x:c>
      <x:c r="H62" s="299"/>
      <x:c r="I62" s="3"/>
      <x:c r="J62" s="3"/>
      <x:c r="K62" s="163"/>
      <x:c r="L62" s="4"/>
      <x:c r="M62" s="5"/>
      <x:c r="N62" s="6"/>
      <x:c r="V62" s="1"/>
    </x:row>
    <x:row r="63" spans="1:22" s="2" customFormat="1" ht="20.100000000000001" customHeight="1">
      <x:c r="A63" s="299"/>
      <x:c r="B63" s="129" t="s">
        <x:v>854</x:v>
      </x:c>
      <x:c r="C63" s="3"/>
      <x:c r="D63" s="227"/>
      <x:c r="E63" s="4"/>
      <x:c r="F63" s="5">
        <x:f>+D63+E63</x:f>
        <x:v>0</x:v>
      </x:c>
      <x:c r="G63" s="6"/>
      <x:c r="H63" s="299"/>
      <x:c r="I63" s="3"/>
      <x:c r="J63" s="3"/>
      <x:c r="K63" s="163"/>
      <x:c r="L63" s="4"/>
      <x:c r="M63" s="5"/>
      <x:c r="N63" s="6"/>
      <x:c r="V63" s="1"/>
    </x:row>
    <x:row r="64" spans="1:22" s="2" customFormat="1" ht="20.100000000000001" customHeight="1">
      <x:c r="A64" s="299"/>
      <x:c r="B64" s="129" t="s">
        <x:v>1441</x:v>
      </x:c>
      <x:c r="C64" s="129" t="s">
        <x:v>1550</x:v>
      </x:c>
      <x:c r="D64" s="163">
        <x:v>226940</x:v>
      </x:c>
      <x:c r="E64" s="4">
        <x:f>+D64*0.1</x:f>
        <x:v>22694</x:v>
      </x:c>
      <x:c r="F64" s="5">
        <x:f t="shared" ref="F64:F65" si="11">+D64+E64</x:f>
        <x:v>249634</x:v>
      </x:c>
      <x:c r="G64" s="6"/>
      <x:c r="H64" s="299"/>
      <x:c r="I64" s="3"/>
      <x:c r="J64" s="3"/>
      <x:c r="K64" s="163"/>
      <x:c r="L64" s="4"/>
      <x:c r="M64" s="5"/>
      <x:c r="N64" s="6"/>
      <x:c r="V64" s="1"/>
    </x:row>
    <x:row r="65" spans="1:22" s="2" customFormat="1" ht="20.100000000000001" customHeight="1">
      <x:c r="A65" s="299"/>
      <x:c r="B65" s="129" t="s">
        <x:v>1591</x:v>
      </x:c>
      <x:c r="C65" s="129" t="s">
        <x:v>1438</x:v>
      </x:c>
      <x:c r="D65" s="163">
        <x:v>106764</x:v>
      </x:c>
      <x:c r="E65" s="4">
        <x:f>+D65*0.1</x:f>
        <x:v>10676.400000000001</x:v>
      </x:c>
      <x:c r="F65" s="5">
        <x:f t="shared" si="11"/>
        <x:v>117440.39999999999</x:v>
      </x:c>
      <x:c r="G65" s="6" t="s">
        <x:v>1423</x:v>
      </x:c>
      <x:c r="H65" s="300"/>
      <x:c r="I65" s="3"/>
      <x:c r="J65" s="3"/>
      <x:c r="K65" s="163"/>
      <x:c r="L65" s="4"/>
      <x:c r="M65" s="5"/>
      <x:c r="N65" s="6"/>
      <x:c r="V65" s="1"/>
    </x:row>
    <x:row r="66" spans="1:22" s="2" customFormat="1" ht="20.100000000000001" customHeight="1">
      <x:c r="A66" s="7"/>
      <x:c r="B66" s="8"/>
      <x:c r="C66" s="8"/>
      <x:c r="D66" s="80">
        <x:f>SUM(D49:D65)</x:f>
        <x:v>22873464</x:v>
      </x:c>
      <x:c r="E66" s="9">
        <x:f>SUM(E49:E65)</x:f>
        <x:v>2287346.3999999999</x:v>
      </x:c>
      <x:c r="F66" s="10">
        <x:f>SUM(F49:F65)</x:f>
        <x:v>25160810.399999999</x:v>
      </x:c>
      <x:c r="G66" s="11"/>
      <x:c r="H66" s="7" t="s">
        <x:v>155</x:v>
      </x:c>
      <x:c r="I66" s="8"/>
      <x:c r="J66" s="8"/>
      <x:c r="K66" s="80">
        <x:f>SUM(K49:K65)</x:f>
        <x:v>310736459</x:v>
      </x:c>
      <x:c r="L66" s="9">
        <x:f>SUM(L49:L65)</x:f>
        <x:v>31073645.899999999</x:v>
      </x:c>
      <x:c r="M66" s="10">
        <x:f>SUM(M49:M65)</x:f>
        <x:v>341810104.89999998</x:v>
      </x:c>
      <x:c r="N66" s="11"/>
      <x:c r="V66" s="1"/>
    </x:row>
    <x:row r="67" spans="1:22" s="2" customFormat="1" ht="20.100000000000001" customHeight="1">
      <x:c r="A67" s="301" t="s">
        <x:v>153</x:v>
      </x:c>
      <x:c r="B67" s="3" t="s">
        <x:v>1677</x:v>
      </x:c>
      <x:c r="C67" s="3" t="s">
        <x:v>1492</x:v>
      </x:c>
      <x:c r="D67" s="163">
        <x:v>73804500</x:v>
      </x:c>
      <x:c r="E67" s="4"/>
      <x:c r="F67" s="5">
        <x:f>+D67+E67</x:f>
        <x:v>73804500</x:v>
      </x:c>
      <x:c r="G67" s="6" t="s">
        <x:v>1423</x:v>
      </x:c>
      <x:c r="H67" s="301" t="s">
        <x:v>153</x:v>
      </x:c>
      <x:c r="I67" s="3" t="s">
        <x:v>1677</x:v>
      </x:c>
      <x:c r="J67" s="3" t="s">
        <x:v>1308</x:v>
      </x:c>
      <x:c r="K67" s="163">
        <x:v>61490000</x:v>
      </x:c>
      <x:c r="L67" s="44"/>
      <x:c r="M67" s="45">
        <x:f>+K67+L67</x:f>
        <x:v>61490000</x:v>
      </x:c>
      <x:c r="N67" s="37"/>
      <x:c r="V67" s="1"/>
    </x:row>
    <x:row r="68" spans="1:22" s="2" customFormat="1" ht="20.100000000000001" customHeight="1">
      <x:c r="A68" s="299"/>
      <x:c r="B68" s="244" t="s">
        <x:v>1677</x:v>
      </x:c>
      <x:c r="C68" s="244" t="s">
        <x:v>1604</x:v>
      </x:c>
      <x:c r="D68" s="249">
        <x:v>22237500</x:v>
      </x:c>
      <x:c r="E68" s="247"/>
      <x:c r="F68" s="250">
        <x:f>+D68+E68</x:f>
        <x:v>22237500</x:v>
      </x:c>
      <x:c r="G68" s="248" t="s">
        <x:v>1520</x:v>
      </x:c>
      <x:c r="H68" s="299"/>
      <x:c r="I68" s="3" t="s">
        <x:v>1241</x:v>
      </x:c>
      <x:c r="J68" s="3" t="s">
        <x:v>523</x:v>
      </x:c>
      <x:c r="K68" s="163">
        <x:v>9830000</x:v>
      </x:c>
      <x:c r="L68" s="44">
        <x:v>150000</x:v>
      </x:c>
      <x:c r="M68" s="45">
        <x:f>+K68+L68</x:f>
        <x:v>9980000</x:v>
      </x:c>
      <x:c r="N68" s="37"/>
      <x:c r="V68" s="1"/>
    </x:row>
    <x:row r="69" spans="1:22" s="2" customFormat="1" ht="20.100000000000001" customHeight="1">
      <x:c r="A69" s="299"/>
      <x:c r="B69" s="154"/>
      <x:c r="C69" s="3"/>
      <x:c r="D69" s="163"/>
      <x:c r="E69" s="4">
        <x:f>+D69*0.1</x:f>
        <x:v>0</x:v>
      </x:c>
      <x:c r="F69" s="5">
        <x:f>+D69+E69</x:f>
        <x:v>0</x:v>
      </x:c>
      <x:c r="G69" s="6"/>
      <x:c r="H69" s="299"/>
      <x:c r="I69" s="3"/>
      <x:c r="J69" s="3"/>
      <x:c r="K69" s="163"/>
      <x:c r="L69" s="4"/>
      <x:c r="M69" s="5">
        <x:f>+K69+L69</x:f>
        <x:v>0</x:v>
      </x:c>
      <x:c r="N69" s="6"/>
      <x:c r="V69" s="1"/>
    </x:row>
    <x:row r="70" spans="1:22" s="2" customFormat="1" ht="20.100000000000001" customHeight="1">
      <x:c r="A70" s="300"/>
      <x:c r="B70" s="3"/>
      <x:c r="C70" s="3"/>
      <x:c r="D70" s="163"/>
      <x:c r="E70" s="4"/>
      <x:c r="F70" s="5"/>
      <x:c r="G70" s="6"/>
      <x:c r="H70" s="300"/>
      <x:c r="I70" s="3"/>
      <x:c r="J70" s="3"/>
      <x:c r="K70" s="163"/>
      <x:c r="L70" s="4"/>
      <x:c r="M70" s="5">
        <x:f>+K70+L70</x:f>
        <x:v>0</x:v>
      </x:c>
      <x:c r="N70" s="6"/>
      <x:c r="V70" s="1"/>
    </x:row>
    <x:row r="71" spans="1:22" s="2" customFormat="1" ht="20.100000000000001" customHeight="1">
      <x:c r="A71" s="7"/>
      <x:c r="B71" s="8"/>
      <x:c r="C71" s="8"/>
      <x:c r="D71" s="80">
        <x:f>SUM(D67:D70)</x:f>
        <x:v>96042000</x:v>
      </x:c>
      <x:c r="E71" s="9">
        <x:f>SUM(E67:E70)</x:f>
        <x:v>0</x:v>
      </x:c>
      <x:c r="F71" s="10">
        <x:f>SUM(F67:F70)</x:f>
        <x:v>96042000</x:v>
      </x:c>
      <x:c r="G71" s="11"/>
      <x:c r="H71" s="7" t="s">
        <x:v>155</x:v>
      </x:c>
      <x:c r="I71" s="8"/>
      <x:c r="J71" s="8"/>
      <x:c r="K71" s="80">
        <x:f>SUM(K67:K70)</x:f>
        <x:v>71320000</x:v>
      </x:c>
      <x:c r="L71" s="9">
        <x:f>SUM(L67:L70)</x:f>
        <x:v>150000</x:v>
      </x:c>
      <x:c r="M71" s="10">
        <x:f>SUM(M67:M70)</x:f>
        <x:v>71470000</x:v>
      </x:c>
      <x:c r="N71" s="11"/>
      <x:c r="V71" s="1"/>
    </x:row>
    <x:row r="72" spans="1:22" s="2" customFormat="1" ht="20.100000000000001" customHeight="1">
      <x:c r="A72" s="301" t="s">
        <x:v>187</x:v>
      </x:c>
      <x:c r="B72" s="3" t="s">
        <x:v>1124</x:v>
      </x:c>
      <x:c r="C72" s="3" t="s">
        <x:v>1006</x:v>
      </x:c>
      <x:c r="D72" s="163">
        <x:v>1300000</x:v>
      </x:c>
      <x:c r="E72" s="4">
        <x:f>+D72*0.1</x:f>
        <x:v>130000</x:v>
      </x:c>
      <x:c r="F72" s="5">
        <x:f t="shared" ref="F72:F77" si="12">+D72+E72</x:f>
        <x:v>1430000</x:v>
      </x:c>
      <x:c r="G72" s="6"/>
      <x:c r="H72" s="301" t="s">
        <x:v>187</x:v>
      </x:c>
      <x:c r="I72" s="3" t="s">
        <x:v>1461</x:v>
      </x:c>
      <x:c r="J72" s="3" t="s">
        <x:v>1006</x:v>
      </x:c>
      <x:c r="K72" s="163">
        <x:v>1630000</x:v>
      </x:c>
      <x:c r="L72" s="4">
        <x:f>+K72*0.1</x:f>
        <x:v>163000</x:v>
      </x:c>
      <x:c r="M72" s="5">
        <x:f>+K72+L72</x:f>
        <x:v>1793000</x:v>
      </x:c>
      <x:c r="N72" s="6" t="s">
        <x:v>304</x:v>
      </x:c>
      <x:c r="V72" s="1"/>
    </x:row>
    <x:row r="73" spans="1:22" s="2" customFormat="1" ht="20.100000000000001" customHeight="1">
      <x:c r="A73" s="299"/>
      <x:c r="B73" s="178" t="s">
        <x:v>307</x:v>
      </x:c>
      <x:c r="C73" s="3" t="s">
        <x:v>1478</x:v>
      </x:c>
      <x:c r="D73" s="163"/>
      <x:c r="E73" s="4">
        <x:f>+D73*0.1</x:f>
        <x:v>0</x:v>
      </x:c>
      <x:c r="F73" s="5">
        <x:f t="shared" si="12"/>
        <x:v>0</x:v>
      </x:c>
      <x:c r="G73" s="6"/>
      <x:c r="H73" s="299"/>
      <x:c r="I73" s="3" t="s">
        <x:v>524</x:v>
      </x:c>
      <x:c r="J73" s="3" t="s">
        <x:v>948</x:v>
      </x:c>
      <x:c r="K73" s="163">
        <x:v>180000</x:v>
      </x:c>
      <x:c r="L73" s="4">
        <x:f>+K73*0.1</x:f>
        <x:v>18000</x:v>
      </x:c>
      <x:c r="M73" s="5">
        <x:f>+K73+L73</x:f>
        <x:v>198000</x:v>
      </x:c>
      <x:c r="N73" s="6"/>
      <x:c r="V73" s="1"/>
    </x:row>
    <x:row r="74" spans="1:22" s="2" customFormat="1" ht="20.100000000000001" customHeight="1">
      <x:c r="A74" s="299"/>
      <x:c r="B74" s="3" t="s">
        <x:v>1486</x:v>
      </x:c>
      <x:c r="C74" s="3" t="s">
        <x:v>948</x:v>
      </x:c>
      <x:c r="D74" s="163">
        <x:v>140000</x:v>
      </x:c>
      <x:c r="E74" s="4">
        <x:f>+D74*0.1</x:f>
        <x:v>14000</x:v>
      </x:c>
      <x:c r="F74" s="5">
        <x:f t="shared" si="12"/>
        <x:v>154000</x:v>
      </x:c>
      <x:c r="G74" s="6" t="s">
        <x:v>1546</x:v>
      </x:c>
      <x:c r="H74" s="299"/>
      <x:c r="I74" s="3" t="s">
        <x:v>176</x:v>
      </x:c>
      <x:c r="J74" s="3" t="s">
        <x:v>1081</x:v>
      </x:c>
      <x:c r="K74" s="163"/>
      <x:c r="L74" s="4">
        <x:f>+K74*0.1</x:f>
        <x:v>0</x:v>
      </x:c>
      <x:c r="M74" s="5">
        <x:f>+K74+L74</x:f>
        <x:v>0</x:v>
      </x:c>
      <x:c r="N74" s="6"/>
      <x:c r="V74" s="1"/>
    </x:row>
    <x:row r="75" spans="1:22" s="2" customFormat="1" ht="20.100000000000001" customHeight="1">
      <x:c r="A75" s="299"/>
      <x:c r="B75" s="3" t="s">
        <x:v>1672</x:v>
      </x:c>
      <x:c r="C75" s="163" t="s">
        <x:v>1673</x:v>
      </x:c>
      <x:c r="D75" s="163">
        <x:v>600000</x:v>
      </x:c>
      <x:c r="E75" s="4">
        <x:f>+D75*0.1</x:f>
        <x:v>60000</x:v>
      </x:c>
      <x:c r="F75" s="5">
        <x:f t="shared" si="12"/>
        <x:v>660000</x:v>
      </x:c>
      <x:c r="G75" s="6" t="s">
        <x:v>1546</x:v>
      </x:c>
      <x:c r="H75" s="299"/>
      <x:c r="I75" s="3"/>
      <x:c r="J75" s="3"/>
      <x:c r="K75" s="163"/>
      <x:c r="L75" s="4"/>
      <x:c r="M75" s="5"/>
      <x:c r="N75" s="6"/>
      <x:c r="V75" s="1"/>
    </x:row>
    <x:row r="76" spans="1:22" s="2" customFormat="1" ht="20.100000000000001" customHeight="1">
      <x:c r="A76" s="299"/>
      <x:c r="B76" s="3" t="s">
        <x:v>1619</x:v>
      </x:c>
      <x:c r="C76" s="3" t="s">
        <x:v>1641</x:v>
      </x:c>
      <x:c r="D76" s="163"/>
      <x:c r="E76" s="4">
        <x:f>+D76*0.1</x:f>
        <x:v>0</x:v>
      </x:c>
      <x:c r="F76" s="5">
        <x:f t="shared" si="12"/>
        <x:v>0</x:v>
      </x:c>
      <x:c r="G76" s="6"/>
      <x:c r="H76" s="299"/>
      <x:c r="I76" s="3"/>
      <x:c r="J76" s="3"/>
      <x:c r="K76" s="163"/>
      <x:c r="L76" s="4"/>
      <x:c r="M76" s="5"/>
      <x:c r="N76" s="6"/>
      <x:c r="V76" s="1"/>
    </x:row>
    <x:row r="77" spans="1:22" s="2" customFormat="1" ht="20.100000000000001" customHeight="1">
      <x:c r="A77" s="299"/>
      <x:c r="B77" s="3"/>
      <x:c r="C77" s="3"/>
      <x:c r="D77" s="163"/>
      <x:c r="E77" s="4"/>
      <x:c r="F77" s="5">
        <x:f t="shared" si="12"/>
        <x:v>0</x:v>
      </x:c>
      <x:c r="G77" s="6"/>
      <x:c r="H77" s="299"/>
      <x:c r="I77" s="3"/>
      <x:c r="J77" s="3"/>
      <x:c r="K77" s="163"/>
      <x:c r="L77" s="4"/>
      <x:c r="M77" s="5"/>
      <x:c r="N77" s="6"/>
      <x:c r="V77" s="1"/>
    </x:row>
    <x:row r="78" spans="1:22" s="2" customFormat="1" ht="20.100000000000001" customHeight="1">
      <x:c r="A78" s="7"/>
      <x:c r="B78" s="8"/>
      <x:c r="C78" s="8"/>
      <x:c r="D78" s="80">
        <x:f>SUM(D72:D77)</x:f>
        <x:v>2040000</x:v>
      </x:c>
      <x:c r="E78" s="9">
        <x:f>SUM(E72:E77)</x:f>
        <x:v>204000</x:v>
      </x:c>
      <x:c r="F78" s="10">
        <x:f>SUM(F72:F77)</x:f>
        <x:v>2244000</x:v>
      </x:c>
      <x:c r="G78" s="11"/>
      <x:c r="H78" s="7" t="s">
        <x:v>155</x:v>
      </x:c>
      <x:c r="I78" s="8"/>
      <x:c r="J78" s="8"/>
      <x:c r="K78" s="80">
        <x:f>SUM(K72:K77)</x:f>
        <x:v>1810000</x:v>
      </x:c>
      <x:c r="L78" s="9">
        <x:f>SUM(L72:L77)</x:f>
        <x:v>181000</x:v>
      </x:c>
      <x:c r="M78" s="10">
        <x:f>SUM(M72:M77)</x:f>
        <x:v>1991000</x:v>
      </x:c>
      <x:c r="N78" s="11"/>
      <x:c r="V78" s="1"/>
    </x:row>
    <x:row r="79" spans="1:22" s="2" customFormat="1" ht="20.100000000000001" customHeight="1">
      <x:c r="A79" s="301" t="s">
        <x:v>149</x:v>
      </x:c>
      <x:c r="B79" s="3" t="s">
        <x:v>294</x:v>
      </x:c>
      <x:c r="C79" s="3" t="s">
        <x:v>149</x:v>
      </x:c>
      <x:c r="D79" s="4">
        <x:v>3391014</x:v>
      </x:c>
      <x:c r="E79" s="4"/>
      <x:c r="F79" s="5">
        <x:f t="shared" ref="F79:F86" si="13">+D79+E79</x:f>
        <x:v>3391014</x:v>
      </x:c>
      <x:c r="G79" s="6"/>
      <x:c r="H79" s="301" t="s">
        <x:v>149</x:v>
      </x:c>
      <x:c r="I79" s="3" t="s">
        <x:v>248</x:v>
      </x:c>
      <x:c r="J79" s="3" t="s">
        <x:v>492</x:v>
      </x:c>
      <x:c r="K79" s="163">
        <x:v>13000</x:v>
      </x:c>
      <x:c r="L79" s="4"/>
      <x:c r="M79" s="5">
        <x:f>+K79+L79</x:f>
        <x:v>13000</x:v>
      </x:c>
      <x:c r="N79" s="6"/>
      <x:c r="V79" s="1"/>
    </x:row>
    <x:row r="80" spans="1:22" s="2" customFormat="1" ht="20.100000000000001" customHeight="1">
      <x:c r="A80" s="299"/>
      <x:c r="B80" s="3" t="s">
        <x:v>284</x:v>
      </x:c>
      <x:c r="C80" s="3" t="s">
        <x:v>149</x:v>
      </x:c>
      <x:c r="D80" s="163"/>
      <x:c r="E80" s="4"/>
      <x:c r="F80" s="5">
        <x:f t="shared" si="13"/>
        <x:v>0</x:v>
      </x:c>
      <x:c r="G80" s="6" t="s">
        <x:v>1520</x:v>
      </x:c>
      <x:c r="H80" s="299"/>
      <x:c r="I80" s="3" t="s">
        <x:v>284</x:v>
      </x:c>
      <x:c r="J80" s="3" t="s">
        <x:v>492</x:v>
      </x:c>
      <x:c r="K80" s="163">
        <x:v>1094260</x:v>
      </x:c>
      <x:c r="L80" s="4"/>
      <x:c r="M80" s="5">
        <x:f t="shared" ref="M80:M91" si="14">+K80+L80</x:f>
        <x:v>1094260</x:v>
      </x:c>
      <x:c r="N80" s="6"/>
      <x:c r="V80" s="1"/>
    </x:row>
    <x:row r="81" spans="1:22" s="2" customFormat="1" ht="20.100000000000001" customHeight="1">
      <x:c r="A81" s="299"/>
      <x:c r="B81" s="3" t="s">
        <x:v>1680</x:v>
      </x:c>
      <x:c r="C81" s="3" t="s">
        <x:v>914</x:v>
      </x:c>
      <x:c r="D81" s="163">
        <x:v>100000</x:v>
      </x:c>
      <x:c r="E81" s="4">
        <x:f t="shared" ref="E81:E86" si="15">+D81*0.1</x:f>
        <x:v>10000</x:v>
      </x:c>
      <x:c r="F81" s="5">
        <x:f t="shared" si="13"/>
        <x:v>110000</x:v>
      </x:c>
      <x:c r="G81" s="6"/>
      <x:c r="H81" s="299"/>
      <x:c r="I81" s="3" t="s">
        <x:v>249</x:v>
      </x:c>
      <x:c r="J81" s="3" t="s">
        <x:v>608</x:v>
      </x:c>
      <x:c r="K81" s="163">
        <x:v>550000</x:v>
      </x:c>
      <x:c r="L81" s="4"/>
      <x:c r="M81" s="5">
        <x:f t="shared" si="14"/>
        <x:v>550000</x:v>
      </x:c>
      <x:c r="N81" s="6"/>
      <x:c r="V81" s="1"/>
    </x:row>
    <x:row r="82" spans="1:22" s="2" customFormat="1" ht="20.100000000000001" customHeight="1">
      <x:c r="A82" s="299"/>
      <x:c r="B82" s="3" t="s">
        <x:v>883</x:v>
      </x:c>
      <x:c r="C82" s="3" t="s">
        <x:v>1417</x:v>
      </x:c>
      <x:c r="D82" s="163">
        <x:v>200000</x:v>
      </x:c>
      <x:c r="E82" s="4">
        <x:f t="shared" si="15"/>
        <x:v>20000</x:v>
      </x:c>
      <x:c r="F82" s="5">
        <x:f t="shared" si="13"/>
        <x:v>220000</x:v>
      </x:c>
      <x:c r="G82" s="6" t="s">
        <x:v>250</x:v>
      </x:c>
      <x:c r="H82" s="299"/>
      <x:c r="I82" s="3" t="s">
        <x:v>262</x:v>
      </x:c>
      <x:c r="J82" s="3" t="s">
        <x:v>530</x:v>
      </x:c>
      <x:c r="K82" s="163">
        <x:v>550000</x:v>
      </x:c>
      <x:c r="L82" s="4"/>
      <x:c r="M82" s="5">
        <x:f t="shared" si="14"/>
        <x:v>550000</x:v>
      </x:c>
      <x:c r="N82" s="6"/>
      <x:c r="V82" s="1"/>
    </x:row>
    <x:row r="83" spans="1:22" s="2" customFormat="1" ht="20.100000000000001" customHeight="1">
      <x:c r="A83" s="299"/>
      <x:c r="B83" s="3" t="s">
        <x:v>247</x:v>
      </x:c>
      <x:c r="C83" s="3" t="s">
        <x:v>231</x:v>
      </x:c>
      <x:c r="D83" s="163">
        <x:v>20577</x:v>
      </x:c>
      <x:c r="E83" s="4">
        <x:v>2057</x:v>
      </x:c>
      <x:c r="F83" s="5">
        <x:f t="shared" si="13"/>
        <x:v>22634</x:v>
      </x:c>
      <x:c r="G83" s="6"/>
      <x:c r="H83" s="299"/>
      <x:c r="I83" s="3" t="s">
        <x:v>289</x:v>
      </x:c>
      <x:c r="J83" s="3" t="s">
        <x:v>608</x:v>
      </x:c>
      <x:c r="K83" s="163">
        <x:v>580000</x:v>
      </x:c>
      <x:c r="L83" s="4"/>
      <x:c r="M83" s="5">
        <x:f t="shared" si="14"/>
        <x:v>580000</x:v>
      </x:c>
      <x:c r="N83" s="6"/>
      <x:c r="V83" s="1"/>
    </x:row>
    <x:row r="84" spans="1:22" s="2" customFormat="1" ht="20.100000000000001" customHeight="1">
      <x:c r="A84" s="299"/>
      <x:c r="B84" s="3" t="s">
        <x:v>1442</x:v>
      </x:c>
      <x:c r="C84" s="3" t="s">
        <x:v>167</x:v>
      </x:c>
      <x:c r="D84" s="163">
        <x:v>85000</x:v>
      </x:c>
      <x:c r="E84" s="4">
        <x:f t="shared" si="15"/>
        <x:v>8500</x:v>
      </x:c>
      <x:c r="F84" s="5">
        <x:f t="shared" si="13"/>
        <x:v>93500</x:v>
      </x:c>
      <x:c r="G84" s="6"/>
      <x:c r="H84" s="299"/>
      <x:c r="I84" s="3" t="s">
        <x:v>947</x:v>
      </x:c>
      <x:c r="J84" s="3" t="s">
        <x:v>914</x:v>
      </x:c>
      <x:c r="K84" s="163">
        <x:v>100000</x:v>
      </x:c>
      <x:c r="L84" s="4">
        <x:f>+K84*0.1</x:f>
        <x:v>10000</x:v>
      </x:c>
      <x:c r="M84" s="5">
        <x:f t="shared" si="14"/>
        <x:v>110000</x:v>
      </x:c>
      <x:c r="N84" s="6"/>
      <x:c r="V84" s="1"/>
    </x:row>
    <x:row r="85" spans="1:22" s="2" customFormat="1" ht="20.100000000000001" customHeight="1">
      <x:c r="A85" s="299"/>
      <x:c r="B85" s="244" t="s">
        <x:v>1555</x:v>
      </x:c>
      <x:c r="C85" s="244" t="s">
        <x:v>1598</x:v>
      </x:c>
      <x:c r="D85" s="249">
        <x:v>234000</x:v>
      </x:c>
      <x:c r="E85" s="247">
        <x:f t="shared" si="15"/>
        <x:v>23400</x:v>
      </x:c>
      <x:c r="F85" s="250">
        <x:f t="shared" si="13"/>
        <x:v>257400</x:v>
      </x:c>
      <x:c r="G85" s="248" t="s">
        <x:v>1520</x:v>
      </x:c>
      <x:c r="H85" s="299"/>
      <x:c r="I85" s="3" t="s">
        <x:v>883</x:v>
      </x:c>
      <x:c r="J85" s="3" t="s">
        <x:v>1417</x:v>
      </x:c>
      <x:c r="K85" s="163">
        <x:v>200000</x:v>
      </x:c>
      <x:c r="L85" s="4">
        <x:f>+K85*0.1</x:f>
        <x:v>20000</x:v>
      </x:c>
      <x:c r="M85" s="5">
        <x:f t="shared" si="14"/>
        <x:v>220000</x:v>
      </x:c>
      <x:c r="N85" s="6" t="s">
        <x:v>1431</x:v>
      </x:c>
      <x:c r="V85" s="1"/>
    </x:row>
    <x:row r="86" spans="1:22" s="2" customFormat="1" ht="20.100000000000001" customHeight="1">
      <x:c r="A86" s="299"/>
      <x:c r="B86" s="244" t="s">
        <x:v>1582</x:v>
      </x:c>
      <x:c r="C86" s="244" t="s">
        <x:v>290</x:v>
      </x:c>
      <x:c r="D86" s="247">
        <x:v>1050500</x:v>
      </x:c>
      <x:c r="E86" s="247">
        <x:f t="shared" si="15"/>
        <x:v>105050</x:v>
      </x:c>
      <x:c r="F86" s="250">
        <x:f t="shared" si="13"/>
        <x:v>1155550</x:v>
      </x:c>
      <x:c r="G86" s="248" t="s">
        <x:v>1520</x:v>
      </x:c>
      <x:c r="H86" s="299"/>
      <x:c r="I86" s="3" t="s">
        <x:v>1340</x:v>
      </x:c>
      <x:c r="J86" s="3" t="s">
        <x:v>28</x:v>
      </x:c>
      <x:c r="K86" s="163">
        <x:v>1996500</x:v>
      </x:c>
      <x:c r="L86" s="4">
        <x:f>+K86*0.1</x:f>
        <x:v>199650</x:v>
      </x:c>
      <x:c r="M86" s="5">
        <x:f t="shared" si="14"/>
        <x:v>2196150</x:v>
      </x:c>
      <x:c r="N86" s="6"/>
      <x:c r="V86" s="1"/>
    </x:row>
    <x:row r="87" spans="1:22" s="2" customFormat="1" ht="20.100000000000001" customHeight="1">
      <x:c r="A87" s="299"/>
      <x:c r="B87" s="3"/>
      <x:c r="C87" s="3"/>
      <x:c r="D87" s="4"/>
      <x:c r="E87" s="4"/>
      <x:c r="F87" s="5">
        <x:f>+D87+E87</x:f>
        <x:v>0</x:v>
      </x:c>
      <x:c r="G87" s="6"/>
      <x:c r="H87" s="299"/>
      <x:c r="I87" s="3" t="s">
        <x:v>1513</x:v>
      </x:c>
      <x:c r="J87" s="3" t="s">
        <x:v>825</x:v>
      </x:c>
      <x:c r="K87" s="163">
        <x:v>1600000</x:v>
      </x:c>
      <x:c r="L87" s="4">
        <x:f>+K87*0.1</x:f>
        <x:v>160000</x:v>
      </x:c>
      <x:c r="M87" s="5">
        <x:f t="shared" si="14"/>
        <x:v>1760000</x:v>
      </x:c>
      <x:c r="N87" s="6" t="s">
        <x:v>1546</x:v>
      </x:c>
      <x:c r="V87" s="1"/>
    </x:row>
    <x:row r="88" spans="1:22" s="2" customFormat="1" ht="20.100000000000001" customHeight="1">
      <x:c r="A88" s="299"/>
      <x:c r="B88" s="3"/>
      <x:c r="C88" s="3"/>
      <x:c r="D88" s="4"/>
      <x:c r="E88" s="4"/>
      <x:c r="F88" s="5">
        <x:f>+D88+E88</x:f>
        <x:v>0</x:v>
      </x:c>
      <x:c r="G88" s="6"/>
      <x:c r="H88" s="299"/>
      <x:c r="I88" s="3" t="s">
        <x:v>247</x:v>
      </x:c>
      <x:c r="J88" s="3" t="s">
        <x:v>231</x:v>
      </x:c>
      <x:c r="K88" s="163">
        <x:f>20577+4758</x:f>
        <x:v>25335</x:v>
      </x:c>
      <x:c r="L88" s="4">
        <x:f>2057+475</x:f>
        <x:v>2532</x:v>
      </x:c>
      <x:c r="M88" s="5">
        <x:f t="shared" si="14"/>
        <x:v>27867</x:v>
      </x:c>
      <x:c r="N88" s="6" t="s">
        <x:v>1451</x:v>
      </x:c>
      <x:c r="V88" s="1"/>
    </x:row>
    <x:row r="89" spans="1:22" s="2" customFormat="1" ht="20.100000000000001" customHeight="1">
      <x:c r="A89" s="299"/>
      <x:c r="B89" s="3"/>
      <x:c r="C89" s="3"/>
      <x:c r="D89" s="4"/>
      <x:c r="E89" s="4"/>
      <x:c r="F89" s="5">
        <x:f>+D89+E89</x:f>
        <x:v>0</x:v>
      </x:c>
      <x:c r="G89" s="6"/>
      <x:c r="H89" s="299"/>
      <x:c r="I89" s="3" t="s">
        <x:v>926</x:v>
      </x:c>
      <x:c r="J89" s="3" t="s">
        <x:v>404</x:v>
      </x:c>
      <x:c r="K89" s="163">
        <x:f>385340*0.66</x:f>
        <x:v>254324.40000000002</x:v>
      </x:c>
      <x:c r="L89" s="4"/>
      <x:c r="M89" s="5">
        <x:f t="shared" si="14"/>
        <x:v>254324.40000000002</x:v>
      </x:c>
      <x:c r="N89" s="6" t="s">
        <x:v>578</x:v>
      </x:c>
      <x:c r="V89" s="1"/>
    </x:row>
    <x:row r="90" spans="1:22" s="2" customFormat="1" ht="20.100000000000001" customHeight="1">
      <x:c r="A90" s="299"/>
      <x:c r="B90" s="3"/>
      <x:c r="C90" s="3"/>
      <x:c r="D90" s="4"/>
      <x:c r="E90" s="4"/>
      <x:c r="F90" s="5">
        <x:f>+D90+E90</x:f>
        <x:v>0</x:v>
      </x:c>
      <x:c r="G90" s="6"/>
      <x:c r="H90" s="299"/>
      <x:c r="I90" s="3" t="s">
        <x:v>1429</x:v>
      </x:c>
      <x:c r="J90" s="3" t="s">
        <x:v>167</x:v>
      </x:c>
      <x:c r="K90" s="163">
        <x:v>513000</x:v>
      </x:c>
      <x:c r="L90" s="4">
        <x:f>+K90*0.1</x:f>
        <x:v>51300</x:v>
      </x:c>
      <x:c r="M90" s="5">
        <x:f t="shared" si="14"/>
        <x:v>564300</x:v>
      </x:c>
      <x:c r="N90" s="6"/>
      <x:c r="V90" s="1"/>
    </x:row>
    <x:row r="91" spans="1:22" s="2" customFormat="1" ht="20.100000000000001" customHeight="1">
      <x:c r="A91" s="299"/>
      <x:c r="B91" s="3"/>
      <x:c r="C91" s="3"/>
      <x:c r="D91" s="4"/>
      <x:c r="E91" s="4"/>
      <x:c r="F91" s="5">
        <x:f>+D91+E91</x:f>
        <x:v>0</x:v>
      </x:c>
      <x:c r="G91" s="6"/>
      <x:c r="H91" s="299"/>
      <x:c r="I91" s="3"/>
      <x:c r="J91" s="3"/>
      <x:c r="K91" s="163"/>
      <x:c r="L91" s="4"/>
      <x:c r="M91" s="5">
        <x:f t="shared" si="14"/>
        <x:v>0</x:v>
      </x:c>
      <x:c r="N91" s="6"/>
      <x:c r="V91" s="1"/>
    </x:row>
    <x:row r="92" spans="1:22" s="2" customFormat="1" ht="20.100000000000001" customHeight="1">
      <x:c r="A92" s="7"/>
      <x:c r="B92" s="8"/>
      <x:c r="C92" s="8"/>
      <x:c r="D92" s="9">
        <x:f>SUM(D79:D91)</x:f>
        <x:v>5081091</x:v>
      </x:c>
      <x:c r="E92" s="9">
        <x:f>SUM(E79:E91)</x:f>
        <x:v>169007</x:v>
      </x:c>
      <x:c r="F92" s="10">
        <x:f>SUM(F79:F91)</x:f>
        <x:v>5250098</x:v>
      </x:c>
      <x:c r="G92" s="11"/>
      <x:c r="H92" s="7" t="s">
        <x:v>155</x:v>
      </x:c>
      <x:c r="I92" s="8"/>
      <x:c r="J92" s="8"/>
      <x:c r="K92" s="9">
        <x:f>SUM(K79:K91)</x:f>
        <x:v>7476419.4000000004</x:v>
      </x:c>
      <x:c r="L92" s="9">
        <x:f>SUM(L79:L91)</x:f>
        <x:v>443482</x:v>
      </x:c>
      <x:c r="M92" s="10">
        <x:f>SUM(M79:M91)</x:f>
        <x:v>7919901.4000000004</x:v>
      </x:c>
      <x:c r="N92" s="11"/>
      <x:c r="V92" s="1"/>
    </x:row>
    <x:row r="93" spans="1:22" s="2" customFormat="1" ht="20.100000000000001" customHeight="1">
      <x:c r="A93" s="12" t="s">
        <x:v>1690</x:v>
      </x:c>
      <x:c r="B93" s="13"/>
      <x:c r="C93" s="13"/>
      <x:c r="D93" s="14">
        <x:f>+D66+D71+D78+D92</x:f>
        <x:v>126036555</x:v>
      </x:c>
      <x:c r="E93" s="14">
        <x:f>+E66+E71+E78+E92</x:f>
        <x:v>2660353.3999999999</x:v>
      </x:c>
      <x:c r="F93" s="15">
        <x:f>+F66+F71+F78+F92</x:f>
        <x:v>128696908.40000001</x:v>
      </x:c>
      <x:c r="G93" s="16"/>
      <x:c r="H93" s="12" t="s">
        <x:v>1690</x:v>
      </x:c>
      <x:c r="I93" s="13"/>
      <x:c r="J93" s="13"/>
      <x:c r="K93" s="14">
        <x:f>+K66+K71+K78+K92</x:f>
        <x:v>391342878.39999998</x:v>
      </x:c>
      <x:c r="L93" s="14">
        <x:f>+L66+L71+L78+L92</x:f>
        <x:v>31848127.899999999</x:v>
      </x:c>
      <x:c r="M93" s="15">
        <x:f>+M66+M71+M78+M92</x:f>
        <x:v>423191006.29999995</x:v>
      </x:c>
      <x:c r="N93" s="16"/>
      <x:c r="V93" s="1"/>
    </x:row>
    <x:row r="94" spans="1:22" s="2" customFormat="1" ht="20.100000000000001" customHeight="1">
      <x:c r="A94" s="23" t="s">
        <x:v>35</x:v>
      </x:c>
      <x:c r="B94" s="24"/>
      <x:c r="C94" s="24"/>
      <x:c r="D94" s="25">
        <x:f>+D48-D93</x:f>
        <x:v>28263445</x:v>
      </x:c>
      <x:c r="E94" s="25">
        <x:f>+E48-E93</x:f>
        <x:v>12769646.6</x:v>
      </x:c>
      <x:c r="F94" s="26">
        <x:f>+F48-F93</x:f>
        <x:v>41033091.599999994</x:v>
      </x:c>
      <x:c r="G94" s="27"/>
      <x:c r="H94" s="23" t="s">
        <x:v>35</x:v>
      </x:c>
      <x:c r="I94" s="24"/>
      <x:c r="J94" s="24"/>
      <x:c r="K94" s="25">
        <x:f>+K48-K93</x:f>
        <x:v>524657121.60000002</x:v>
      </x:c>
      <x:c r="L94" s="25">
        <x:f>+L48-L93</x:f>
        <x:v>59751872.100000001</x:v>
      </x:c>
      <x:c r="M94" s="26">
        <x:f>+M48-M93</x:f>
        <x:v>584408993.70000005</x:v>
      </x:c>
      <x:c r="N94" s="27"/>
      <x:c r="V94" s="1"/>
    </x:row>
    <x:row r="95" spans="1:22" s="2" customFormat="1" ht="20.100000000000001" customHeight="1">
      <x:c r="A95" s="302" t="s">
        <x:v>415</x:v>
      </x:c>
      <x:c r="B95" s="303"/>
      <x:c r="C95" s="303"/>
      <x:c r="D95" s="303"/>
      <x:c r="E95" s="303"/>
      <x:c r="F95" s="304"/>
      <x:c r="G95" s="305"/>
      <x:c r="H95" s="302" t="s">
        <x:v>466</x:v>
      </x:c>
      <x:c r="I95" s="303"/>
      <x:c r="J95" s="303"/>
      <x:c r="K95" s="303"/>
      <x:c r="L95" s="303"/>
      <x:c r="M95" s="304"/>
      <x:c r="N95" s="305"/>
      <x:c r="V95" s="1"/>
    </x:row>
    <x:row r="96" spans="1:22" s="2" customFormat="1" ht="20.100000000000001" customHeight="1">
      <x:c r="A96" s="29" t="s">
        <x:v>147</x:v>
      </x:c>
      <x:c r="B96" s="239" t="s">
        <x:v>144</x:v>
      </x:c>
      <x:c r="C96" s="239" t="s">
        <x:v>150</x:v>
      </x:c>
      <x:c r="D96" s="31" t="s">
        <x:v>145</x:v>
      </x:c>
      <x:c r="E96" s="31" t="s">
        <x:v>152</x:v>
      </x:c>
      <x:c r="F96" s="31" t="s">
        <x:v>146</x:v>
      </x:c>
      <x:c r="G96" s="34" t="s">
        <x:v>154</x:v>
      </x:c>
      <x:c r="H96" s="29" t="s">
        <x:v>147</x:v>
      </x:c>
      <x:c r="I96" s="239" t="s">
        <x:v>144</x:v>
      </x:c>
      <x:c r="J96" s="239" t="s">
        <x:v>150</x:v>
      </x:c>
      <x:c r="K96" s="31" t="s">
        <x:v>145</x:v>
      </x:c>
      <x:c r="L96" s="31" t="s">
        <x:v>152</x:v>
      </x:c>
      <x:c r="M96" s="32" t="s">
        <x:v>146</x:v>
      </x:c>
      <x:c r="N96" s="33" t="s">
        <x:v>154</x:v>
      </x:c>
      <x:c r="V96" s="1"/>
    </x:row>
    <x:row r="97" spans="1:22" s="2" customFormat="1" ht="20.100000000000001" customHeight="1">
      <x:c r="A97" s="41" t="s">
        <x:v>151</x:v>
      </x:c>
      <x:c r="B97" s="38" t="s">
        <x:v>1679</x:v>
      </x:c>
      <x:c r="C97" s="38" t="s">
        <x:v>791</x:v>
      </x:c>
      <x:c r="D97" s="39">
        <x:f>94000000+(148000000+3500000+2000000)</x:f>
        <x:v>247500000</x:v>
      </x:c>
      <x:c r="E97" s="39">
        <x:f>+D97*0.1</x:f>
        <x:v>24750000</x:v>
      </x:c>
      <x:c r="F97" s="40">
        <x:f>+D97+E97</x:f>
        <x:v>272250000</x:v>
      </x:c>
      <x:c r="G97" s="42" t="s">
        <x:v>1629</x:v>
      </x:c>
      <x:c r="H97" s="238" t="s">
        <x:v>151</x:v>
      </x:c>
      <x:c r="I97" s="38" t="s">
        <x:v>1679</x:v>
      </x:c>
      <x:c r="J97" s="38" t="s">
        <x:v>791</x:v>
      </x:c>
      <x:c r="K97" s="39"/>
      <x:c r="L97" s="39"/>
      <x:c r="M97" s="40">
        <x:f t="shared" ref="M97:M119" si="16">+K97+L97</x:f>
        <x:v>0</x:v>
      </x:c>
      <x:c r="N97" s="18" t="s">
        <x:v>1473</x:v>
      </x:c>
      <x:c r="V97" s="1"/>
    </x:row>
    <x:row r="98" spans="1:22" s="2" customFormat="1" ht="20.100000000000001" customHeight="1">
      <x:c r="A98" s="298" t="s">
        <x:v>148</x:v>
      </x:c>
      <x:c r="B98" s="19" t="s">
        <x:v>867</x:v>
      </x:c>
      <x:c r="C98" s="54" t="s">
        <x:v>369</x:v>
      </x:c>
      <x:c r="D98" s="253">
        <x:v>58656230</x:v>
      </x:c>
      <x:c r="E98" s="253">
        <x:f>+D98*0.1</x:f>
        <x:v>5865623</x:v>
      </x:c>
      <x:c r="F98" s="254">
        <x:f>+D98+E98</x:f>
        <x:v>64521853</x:v>
      </x:c>
      <x:c r="G98" s="255" t="s">
        <x:v>1611</x:v>
      </x:c>
      <x:c r="H98" s="298" t="s">
        <x:v>148</x:v>
      </x:c>
      <x:c r="I98" s="54" t="s">
        <x:v>867</x:v>
      </x:c>
      <x:c r="J98" s="54"/>
      <x:c r="K98" s="226"/>
      <x:c r="L98" s="93"/>
      <x:c r="M98" s="94">
        <x:f t="shared" si="16"/>
        <x:v>0</x:v>
      </x:c>
      <x:c r="N98" s="22" t="s">
        <x:v>532</x:v>
      </x:c>
      <x:c r="V98" s="1"/>
    </x:row>
    <x:row r="99" spans="1:22" s="2" customFormat="1" ht="20.100000000000001" customHeight="1">
      <x:c r="A99" s="299"/>
      <x:c r="B99" s="3" t="s">
        <x:v>1315</x:v>
      </x:c>
      <x:c r="C99" s="3"/>
      <x:c r="D99" s="44"/>
      <x:c r="E99" s="4"/>
      <x:c r="F99" s="5">
        <x:f t="shared" ref="F99:F104" si="17">+D99+E99</x:f>
        <x:v>0</x:v>
      </x:c>
      <x:c r="G99" s="6"/>
      <x:c r="H99" s="299"/>
      <x:c r="I99" s="162" t="s">
        <x:v>867</x:v>
      </x:c>
      <x:c r="J99" s="262" t="s">
        <x:v>375</x:v>
      </x:c>
      <x:c r="K99" s="163">
        <x:v>680500</x:v>
      </x:c>
      <x:c r="L99" s="163">
        <x:f>+K99*0.1</x:f>
        <x:v>68050</x:v>
      </x:c>
      <x:c r="M99" s="164">
        <x:f t="shared" si="16"/>
        <x:v>748550</x:v>
      </x:c>
      <x:c r="N99" s="180"/>
      <x:c r="V99" s="1"/>
    </x:row>
    <x:row r="100" spans="1:22" s="2" customFormat="1" ht="20.100000000000001" customHeight="1">
      <x:c r="A100" s="299"/>
      <x:c r="B100" s="3" t="s">
        <x:v>846</x:v>
      </x:c>
      <x:c r="C100" s="3"/>
      <x:c r="D100" s="44"/>
      <x:c r="E100" s="4"/>
      <x:c r="F100" s="5">
        <x:f t="shared" si="17"/>
        <x:v>0</x:v>
      </x:c>
      <x:c r="G100" s="6"/>
      <x:c r="H100" s="299"/>
      <x:c r="I100" s="3" t="s">
        <x:v>1058</x:v>
      </x:c>
      <x:c r="J100" s="129" t="s">
        <x:v>477</x:v>
      </x:c>
      <x:c r="K100" s="163">
        <x:v>148460</x:v>
      </x:c>
      <x:c r="L100" s="4">
        <x:f>+K100*0.1</x:f>
        <x:v>14846</x:v>
      </x:c>
      <x:c r="M100" s="5">
        <x:f t="shared" si="16"/>
        <x:v>163306</x:v>
      </x:c>
      <x:c r="N100" s="6"/>
      <x:c r="V100" s="1"/>
    </x:row>
    <x:row r="101" spans="1:22" s="2" customFormat="1" ht="20.100000000000001" customHeight="1">
      <x:c r="A101" s="299"/>
      <x:c r="B101" s="3" t="s">
        <x:v>1553</x:v>
      </x:c>
      <x:c r="C101" s="3"/>
      <x:c r="D101" s="44"/>
      <x:c r="E101" s="4"/>
      <x:c r="F101" s="5">
        <x:f t="shared" si="17"/>
        <x:v>0</x:v>
      </x:c>
      <x:c r="G101" s="6"/>
      <x:c r="H101" s="299"/>
      <x:c r="I101" s="3" t="s">
        <x:v>938</x:v>
      </x:c>
      <x:c r="J101" s="129"/>
      <x:c r="K101" s="163"/>
      <x:c r="L101" s="4"/>
      <x:c r="M101" s="5">
        <x:f t="shared" si="16"/>
        <x:v>0</x:v>
      </x:c>
      <x:c r="N101" s="6"/>
      <x:c r="V101" s="1"/>
    </x:row>
    <x:row r="102" spans="1:22" s="2" customFormat="1" ht="20.100000000000001" customHeight="1">
      <x:c r="A102" s="299"/>
      <x:c r="B102" s="3" t="s">
        <x:v>838</x:v>
      </x:c>
      <x:c r="C102" s="3"/>
      <x:c r="D102" s="44"/>
      <x:c r="E102" s="4"/>
      <x:c r="F102" s="5">
        <x:f t="shared" si="17"/>
        <x:v>0</x:v>
      </x:c>
      <x:c r="G102" s="6"/>
      <x:c r="H102" s="299"/>
      <x:c r="I102" s="3" t="s">
        <x:v>483</x:v>
      </x:c>
      <x:c r="J102" s="129"/>
      <x:c r="K102" s="163"/>
      <x:c r="L102" s="4"/>
      <x:c r="M102" s="5">
        <x:f t="shared" si="16"/>
        <x:v>0</x:v>
      </x:c>
      <x:c r="N102" s="6" t="s">
        <x:v>532</x:v>
      </x:c>
      <x:c r="V102" s="1"/>
    </x:row>
    <x:row r="103" spans="1:22" s="2" customFormat="1" ht="20.100000000000001" customHeight="1">
      <x:c r="A103" s="299"/>
      <x:c r="B103" s="3" t="s">
        <x:v>1378</x:v>
      </x:c>
      <x:c r="C103" s="129" t="s">
        <x:v>1618</x:v>
      </x:c>
      <x:c r="D103" s="44">
        <x:v>327660</x:v>
      </x:c>
      <x:c r="E103" s="4">
        <x:f>+D103*0.1</x:f>
        <x:v>32766</x:v>
      </x:c>
      <x:c r="F103" s="5">
        <x:f t="shared" si="17"/>
        <x:v>360426</x:v>
      </x:c>
      <x:c r="G103" s="6" t="s">
        <x:v>1593</x:v>
      </x:c>
      <x:c r="H103" s="299"/>
      <x:c r="I103" s="3" t="s">
        <x:v>483</x:v>
      </x:c>
      <x:c r="J103" s="262"/>
      <x:c r="K103" s="163"/>
      <x:c r="L103" s="163"/>
      <x:c r="M103" s="164">
        <x:f t="shared" si="16"/>
        <x:v>0</x:v>
      </x:c>
      <x:c r="N103" s="6"/>
      <x:c r="V103" s="1"/>
    </x:row>
    <x:row r="104" spans="1:22" s="2" customFormat="1" ht="20.100000000000001" customHeight="1">
      <x:c r="A104" s="299"/>
      <x:c r="B104" s="3" t="s">
        <x:v>1058</x:v>
      </x:c>
      <x:c r="C104" s="129" t="s">
        <x:v>443</x:v>
      </x:c>
      <x:c r="D104" s="44">
        <x:v>264300</x:v>
      </x:c>
      <x:c r="E104" s="4">
        <x:f>+D104*0.1</x:f>
        <x:v>26430</x:v>
      </x:c>
      <x:c r="F104" s="5">
        <x:f t="shared" si="17"/>
        <x:v>290730</x:v>
      </x:c>
      <x:c r="G104" s="6" t="s">
        <x:v>1593</x:v>
      </x:c>
      <x:c r="H104" s="299"/>
      <x:c r="I104" s="162" t="s">
        <x:v>1348</x:v>
      </x:c>
      <x:c r="J104" s="262" t="s">
        <x:v>570</x:v>
      </x:c>
      <x:c r="K104" s="163">
        <x:v>22500</x:v>
      </x:c>
      <x:c r="L104" s="163">
        <x:f>+K104*0.1</x:f>
        <x:v>2250</x:v>
      </x:c>
      <x:c r="M104" s="164">
        <x:f t="shared" si="16"/>
        <x:v>24750</x:v>
      </x:c>
      <x:c r="N104" s="6"/>
      <x:c r="V104" s="1"/>
    </x:row>
    <x:row r="105" spans="1:22" s="2" customFormat="1" ht="20.100000000000001" customHeight="1">
      <x:c r="A105" s="299"/>
      <x:c r="B105" s="3" t="s">
        <x:v>1348</x:v>
      </x:c>
      <x:c r="C105" s="129" t="s">
        <x:v>454</x:v>
      </x:c>
      <x:c r="D105" s="44">
        <x:v>648649</x:v>
      </x:c>
      <x:c r="E105" s="4">
        <x:f>+D105*0.1-1</x:f>
        <x:v>64863.900000000001</x:v>
      </x:c>
      <x:c r="F105" s="5">
        <x:f>+D105+E105</x:f>
        <x:v>713512.90000000002</x:v>
      </x:c>
      <x:c r="G105" s="6" t="s">
        <x:v>1593</x:v>
      </x:c>
      <x:c r="H105" s="299"/>
      <x:c r="I105" s="3" t="s">
        <x:v>1315</x:v>
      </x:c>
      <x:c r="J105" s="129"/>
      <x:c r="K105" s="163"/>
      <x:c r="L105" s="4"/>
      <x:c r="M105" s="5">
        <x:f t="shared" si="16"/>
        <x:v>0</x:v>
      </x:c>
      <x:c r="N105" s="6"/>
      <x:c r="V105" s="1"/>
    </x:row>
    <x:row r="106" spans="1:22" s="2" customFormat="1" ht="20.100000000000001" customHeight="1">
      <x:c r="A106" s="299"/>
      <x:c r="B106" s="3" t="s">
        <x:v>762</x:v>
      </x:c>
      <x:c r="C106" s="129" t="s">
        <x:v>244</x:v>
      </x:c>
      <x:c r="D106" s="44">
        <x:v>1700000</x:v>
      </x:c>
      <x:c r="E106" s="4">
        <x:f>+D106*0.1</x:f>
        <x:v>170000</x:v>
      </x:c>
      <x:c r="F106" s="5">
        <x:f t="shared" ref="F106:F119" si="18">+D106+E106</x:f>
        <x:v>1870000</x:v>
      </x:c>
      <x:c r="G106" s="6" t="s">
        <x:v>1593</x:v>
      </x:c>
      <x:c r="H106" s="299"/>
      <x:c r="I106" s="3" t="s">
        <x:v>846</x:v>
      </x:c>
      <x:c r="J106" s="129"/>
      <x:c r="K106" s="163"/>
      <x:c r="L106" s="4"/>
      <x:c r="M106" s="5">
        <x:f t="shared" si="16"/>
        <x:v>0</x:v>
      </x:c>
      <x:c r="N106" s="6"/>
      <x:c r="V106" s="1"/>
    </x:row>
    <x:row r="107" spans="1:22" s="2" customFormat="1" ht="20.100000000000001" customHeight="1">
      <x:c r="A107" s="299"/>
      <x:c r="B107" s="3" t="s">
        <x:v>228</x:v>
      </x:c>
      <x:c r="C107" s="129"/>
      <x:c r="D107" s="44"/>
      <x:c r="E107" s="4"/>
      <x:c r="F107" s="5">
        <x:f t="shared" si="18"/>
        <x:v>0</x:v>
      </x:c>
      <x:c r="G107" s="6"/>
      <x:c r="H107" s="299"/>
      <x:c r="I107" s="3" t="s">
        <x:v>762</x:v>
      </x:c>
      <x:c r="J107" s="129"/>
      <x:c r="K107" s="156"/>
      <x:c r="L107" s="156"/>
      <x:c r="M107" s="157">
        <x:f t="shared" si="16"/>
        <x:v>0</x:v>
      </x:c>
      <x:c r="N107" s="37"/>
      <x:c r="V107" s="1"/>
    </x:row>
    <x:row r="108" spans="1:22" s="2" customFormat="1" ht="20.100000000000001" customHeight="1">
      <x:c r="A108" s="299"/>
      <x:c r="B108" s="3" t="s">
        <x:v>1615</x:v>
      </x:c>
      <x:c r="C108" s="129" t="s">
        <x:v>244</x:v>
      </x:c>
      <x:c r="D108" s="44">
        <x:v>15877000</x:v>
      </x:c>
      <x:c r="E108" s="4">
        <x:f>+D108*0.1</x:f>
        <x:v>1587700</x:v>
      </x:c>
      <x:c r="F108" s="5">
        <x:f t="shared" si="18"/>
        <x:v>17464700</x:v>
      </x:c>
      <x:c r="G108" s="6" t="s">
        <x:v>1593</x:v>
      </x:c>
      <x:c r="H108" s="299"/>
      <x:c r="I108" s="3" t="s">
        <x:v>1607</x:v>
      </x:c>
      <x:c r="J108" s="129"/>
      <x:c r="K108" s="156"/>
      <x:c r="L108" s="156"/>
      <x:c r="M108" s="157">
        <x:f t="shared" si="16"/>
        <x:v>0</x:v>
      </x:c>
      <x:c r="N108" s="37"/>
      <x:c r="V108" s="1"/>
    </x:row>
    <x:row r="109" spans="1:22" s="2" customFormat="1" ht="20.100000000000001" customHeight="1">
      <x:c r="A109" s="299"/>
      <x:c r="B109" s="3" t="s">
        <x:v>1477</x:v>
      </x:c>
      <x:c r="C109" s="129"/>
      <x:c r="D109" s="44"/>
      <x:c r="E109" s="4">
        <x:f>+D109*0.1</x:f>
        <x:v>0</x:v>
      </x:c>
      <x:c r="F109" s="5">
        <x:f t="shared" si="18"/>
        <x:v>0</x:v>
      </x:c>
      <x:c r="G109" s="6"/>
      <x:c r="H109" s="299"/>
      <x:c r="I109" s="3" t="s">
        <x:v>1016</x:v>
      </x:c>
      <x:c r="J109" s="129"/>
      <x:c r="K109" s="163"/>
      <x:c r="L109" s="4"/>
      <x:c r="M109" s="5">
        <x:f t="shared" si="16"/>
        <x:v>0</x:v>
      </x:c>
      <x:c r="N109" s="6"/>
      <x:c r="V109" s="1"/>
    </x:row>
    <x:row r="110" spans="1:22" s="2" customFormat="1" ht="20.100000000000001" customHeight="1">
      <x:c r="A110" s="299"/>
      <x:c r="B110" s="3" t="s">
        <x:v>483</x:v>
      </x:c>
      <x:c r="C110" s="129"/>
      <x:c r="D110" s="44"/>
      <x:c r="E110" s="4">
        <x:f>+D110*0.1</x:f>
        <x:v>0</x:v>
      </x:c>
      <x:c r="F110" s="5">
        <x:f t="shared" si="18"/>
        <x:v>0</x:v>
      </x:c>
      <x:c r="G110" s="6"/>
      <x:c r="H110" s="299"/>
      <x:c r="I110" s="3" t="s">
        <x:v>1477</x:v>
      </x:c>
      <x:c r="J110" s="129"/>
      <x:c r="K110" s="156"/>
      <x:c r="L110" s="156"/>
      <x:c r="M110" s="157">
        <x:f t="shared" si="16"/>
        <x:v>0</x:v>
      </x:c>
      <x:c r="N110" s="37"/>
      <x:c r="V110" s="1"/>
    </x:row>
    <x:row r="111" spans="1:22" s="2" customFormat="1" ht="20.100000000000001" customHeight="1">
      <x:c r="A111" s="299"/>
      <x:c r="B111" s="3" t="s">
        <x:v>1319</x:v>
      </x:c>
      <x:c r="C111" s="129"/>
      <x:c r="D111" s="44"/>
      <x:c r="E111" s="4"/>
      <x:c r="F111" s="5">
        <x:f t="shared" si="18"/>
        <x:v>0</x:v>
      </x:c>
      <x:c r="G111" s="6"/>
      <x:c r="H111" s="299"/>
      <x:c r="I111" s="3" t="s">
        <x:v>1564</x:v>
      </x:c>
      <x:c r="J111" s="129"/>
      <x:c r="K111" s="163"/>
      <x:c r="L111" s="4"/>
      <x:c r="M111" s="5">
        <x:f t="shared" si="16"/>
        <x:v>0</x:v>
      </x:c>
      <x:c r="N111" s="6"/>
      <x:c r="V111" s="1"/>
    </x:row>
    <x:row r="112" spans="1:22" s="2" customFormat="1" ht="20.100000000000001" customHeight="1">
      <x:c r="A112" s="299"/>
      <x:c r="B112" s="3" t="s">
        <x:v>854</x:v>
      </x:c>
      <x:c r="C112" s="129"/>
      <x:c r="D112" s="44"/>
      <x:c r="E112" s="4">
        <x:f>+D112*0.1</x:f>
        <x:v>0</x:v>
      </x:c>
      <x:c r="F112" s="5">
        <x:f t="shared" si="18"/>
        <x:v>0</x:v>
      </x:c>
      <x:c r="G112" s="6"/>
      <x:c r="H112" s="299"/>
      <x:c r="I112" s="3" t="s">
        <x:v>228</x:v>
      </x:c>
      <x:c r="J112" s="129"/>
      <x:c r="K112" s="156"/>
      <x:c r="L112" s="156">
        <x:f>+K112*0.1</x:f>
        <x:v>0</x:v>
      </x:c>
      <x:c r="M112" s="157">
        <x:f t="shared" si="16"/>
        <x:v>0</x:v>
      </x:c>
      <x:c r="N112" s="37"/>
      <x:c r="V112" s="1"/>
    </x:row>
    <x:row r="113" spans="1:22" s="2" customFormat="1" ht="20.100000000000001" customHeight="1">
      <x:c r="A113" s="299"/>
      <x:c r="B113" s="3" t="s">
        <x:v>774</x:v>
      </x:c>
      <x:c r="C113" s="129"/>
      <x:c r="D113" s="44"/>
      <x:c r="E113" s="4">
        <x:f>+D113*0.1</x:f>
        <x:v>0</x:v>
      </x:c>
      <x:c r="F113" s="5">
        <x:f t="shared" si="18"/>
        <x:v>0</x:v>
      </x:c>
      <x:c r="G113" s="6"/>
      <x:c r="H113" s="299"/>
      <x:c r="I113" s="3" t="s">
        <x:v>854</x:v>
      </x:c>
      <x:c r="J113" s="129" t="s">
        <x:v>1258</x:v>
      </x:c>
      <x:c r="K113" s="163">
        <x:v>11000000</x:v>
      </x:c>
      <x:c r="L113" s="4">
        <x:f>+K113*0.1</x:f>
        <x:v>1100000</x:v>
      </x:c>
      <x:c r="M113" s="5">
        <x:f t="shared" si="16"/>
        <x:v>12100000</x:v>
      </x:c>
      <x:c r="N113" s="6"/>
      <x:c r="V113" s="1"/>
    </x:row>
    <x:row r="114" spans="1:22" s="2" customFormat="1" ht="20.100000000000001" customHeight="1">
      <x:c r="A114" s="299"/>
      <x:c r="B114" s="3" t="s">
        <x:v>1033</x:v>
      </x:c>
      <x:c r="C114" s="129"/>
      <x:c r="D114" s="44"/>
      <x:c r="E114" s="4">
        <x:f>+D114*0.1</x:f>
        <x:v>0</x:v>
      </x:c>
      <x:c r="F114" s="5">
        <x:f t="shared" si="18"/>
        <x:v>0</x:v>
      </x:c>
      <x:c r="G114" s="6"/>
      <x:c r="H114" s="299"/>
      <x:c r="I114" s="3" t="s">
        <x:v>1102</x:v>
      </x:c>
      <x:c r="J114" s="129"/>
      <x:c r="K114" s="163"/>
      <x:c r="L114" s="4"/>
      <x:c r="M114" s="5">
        <x:f t="shared" si="16"/>
        <x:v>0</x:v>
      </x:c>
      <x:c r="N114" s="6"/>
      <x:c r="V114" s="1"/>
    </x:row>
    <x:row r="115" spans="1:22" s="2" customFormat="1" ht="20.100000000000001" customHeight="1">
      <x:c r="A115" s="299"/>
      <x:c r="B115" s="3" t="s">
        <x:v>1102</x:v>
      </x:c>
      <x:c r="C115" s="129" t="s">
        <x:v>1215</x:v>
      </x:c>
      <x:c r="D115" s="44">
        <x:v>1600000</x:v>
      </x:c>
      <x:c r="E115" s="4">
        <x:f>+D115*0.1</x:f>
        <x:v>160000</x:v>
      </x:c>
      <x:c r="F115" s="5">
        <x:f>+D115+E115</x:f>
        <x:v>1760000</x:v>
      </x:c>
      <x:c r="G115" s="6" t="s">
        <x:v>1593</x:v>
      </x:c>
      <x:c r="H115" s="299"/>
      <x:c r="I115" s="3" t="s">
        <x:v>1378</x:v>
      </x:c>
      <x:c r="J115" s="129" t="s">
        <x:v>1631</x:v>
      </x:c>
      <x:c r="K115" s="163">
        <x:v>5800</x:v>
      </x:c>
      <x:c r="L115" s="4">
        <x:f>+K115*0.1</x:f>
        <x:v>580</x:v>
      </x:c>
      <x:c r="M115" s="5">
        <x:f t="shared" si="16"/>
        <x:v>6380</x:v>
      </x:c>
      <x:c r="N115" s="6"/>
      <x:c r="V115" s="1"/>
    </x:row>
    <x:row r="116" spans="1:22" s="2" customFormat="1" ht="20.100000000000001" customHeight="1">
      <x:c r="A116" s="299"/>
      <x:c r="B116" s="3"/>
      <x:c r="C116" s="3"/>
      <x:c r="D116" s="44"/>
      <x:c r="E116" s="4"/>
      <x:c r="F116" s="5">
        <x:f t="shared" si="18"/>
        <x:v>0</x:v>
      </x:c>
      <x:c r="G116" s="6"/>
      <x:c r="H116" s="299"/>
      <x:c r="I116" s="3" t="s">
        <x:v>774</x:v>
      </x:c>
      <x:c r="J116" s="3" t="s">
        <x:v>1233</x:v>
      </x:c>
      <x:c r="K116" s="163">
        <x:v>850000</x:v>
      </x:c>
      <x:c r="L116" s="4">
        <x:f>+K116*0.1</x:f>
        <x:v>85000</x:v>
      </x:c>
      <x:c r="M116" s="5">
        <x:f t="shared" si="16"/>
        <x:v>935000</x:v>
      </x:c>
      <x:c r="N116" s="6"/>
      <x:c r="V116" s="1"/>
    </x:row>
    <x:row r="117" spans="1:22" s="2" customFormat="1" ht="20.100000000000001" customHeight="1">
      <x:c r="A117" s="299"/>
      <x:c r="B117" s="3"/>
      <x:c r="C117" s="3"/>
      <x:c r="D117" s="44"/>
      <x:c r="E117" s="4"/>
      <x:c r="F117" s="5">
        <x:f t="shared" si="18"/>
        <x:v>0</x:v>
      </x:c>
      <x:c r="G117" s="6"/>
      <x:c r="H117" s="299"/>
      <x:c r="I117" s="3" t="s">
        <x:v>1070</x:v>
      </x:c>
      <x:c r="J117" s="3"/>
      <x:c r="K117" s="163"/>
      <x:c r="L117" s="4"/>
      <x:c r="M117" s="5">
        <x:f t="shared" si="16"/>
        <x:v>0</x:v>
      </x:c>
      <x:c r="N117" s="6"/>
      <x:c r="V117" s="1"/>
    </x:row>
    <x:row r="118" spans="1:22" s="2" customFormat="1" ht="20.100000000000001" customHeight="1">
      <x:c r="A118" s="299"/>
      <x:c r="B118" s="3"/>
      <x:c r="C118" s="3"/>
      <x:c r="D118" s="44"/>
      <x:c r="E118" s="4"/>
      <x:c r="F118" s="5"/>
      <x:c r="G118" s="6"/>
      <x:c r="H118" s="299"/>
      <x:c r="I118" s="162" t="s">
        <x:v>1033</x:v>
      </x:c>
      <x:c r="J118" s="162"/>
      <x:c r="K118" s="156"/>
      <x:c r="L118" s="156"/>
      <x:c r="M118" s="157">
        <x:f t="shared" si="16"/>
        <x:v>0</x:v>
      </x:c>
      <x:c r="N118" s="37"/>
      <x:c r="V118" s="1"/>
    </x:row>
    <x:row r="119" spans="1:22" s="2" customFormat="1" ht="20.100000000000001" customHeight="1">
      <x:c r="A119" s="299"/>
      <x:c r="B119" s="3"/>
      <x:c r="C119" s="3"/>
      <x:c r="D119" s="44"/>
      <x:c r="E119" s="4"/>
      <x:c r="F119" s="5">
        <x:f t="shared" si="18"/>
        <x:v>0</x:v>
      </x:c>
      <x:c r="G119" s="6"/>
      <x:c r="H119" s="300"/>
      <x:c r="I119" s="3" t="s">
        <x:v>1601</x:v>
      </x:c>
      <x:c r="J119" s="3"/>
      <x:c r="K119" s="163"/>
      <x:c r="L119" s="4"/>
      <x:c r="M119" s="5">
        <x:f t="shared" si="16"/>
        <x:v>0</x:v>
      </x:c>
      <x:c r="N119" s="6"/>
      <x:c r="V119" s="1"/>
    </x:row>
    <x:row r="120" spans="1:22" s="2" customFormat="1" ht="20.100000000000001" customHeight="1">
      <x:c r="A120" s="7"/>
      <x:c r="B120" s="8"/>
      <x:c r="C120" s="8"/>
      <x:c r="D120" s="9">
        <x:f>SUM(D98:D119)</x:f>
        <x:v>79073839</x:v>
      </x:c>
      <x:c r="E120" s="9">
        <x:f>SUM(E98:E119)</x:f>
        <x:v>7907382.9000000004</x:v>
      </x:c>
      <x:c r="F120" s="10">
        <x:f>SUM(F98:F119)</x:f>
        <x:v>86981221.900000006</x:v>
      </x:c>
      <x:c r="G120" s="11"/>
      <x:c r="H120" s="7" t="s">
        <x:v>155</x:v>
      </x:c>
      <x:c r="I120" s="8"/>
      <x:c r="J120" s="8"/>
      <x:c r="K120" s="80">
        <x:f>SUM(K98:K119)</x:f>
        <x:v>12707260</x:v>
      </x:c>
      <x:c r="L120" s="9">
        <x:f>SUM(L98:L119)</x:f>
        <x:v>1270726</x:v>
      </x:c>
      <x:c r="M120" s="10">
        <x:f>SUM(M98:M119)</x:f>
        <x:v>13977986</x:v>
      </x:c>
      <x:c r="N120" s="11"/>
      <x:c r="V120" s="1"/>
    </x:row>
    <x:row r="121" spans="1:22" s="2" customFormat="1" ht="20.100000000000001" customHeight="1">
      <x:c r="A121" s="301" t="s">
        <x:v>153</x:v>
      </x:c>
      <x:c r="B121" s="3" t="s">
        <x:v>1677</x:v>
      </x:c>
      <x:c r="C121" s="3" t="s">
        <x:v>1096</x:v>
      </x:c>
      <x:c r="D121" s="4">
        <x:v>12330000</x:v>
      </x:c>
      <x:c r="E121" s="4"/>
      <x:c r="F121" s="5">
        <x:f>+D121+E121</x:f>
        <x:v>12330000</x:v>
      </x:c>
      <x:c r="G121" s="6"/>
      <x:c r="H121" s="301" t="s">
        <x:v>153</x:v>
      </x:c>
      <x:c r="I121" s="3" t="s">
        <x:v>1677</x:v>
      </x:c>
      <x:c r="J121" s="3" t="s">
        <x:v>252</x:v>
      </x:c>
      <x:c r="K121" s="163">
        <x:v>2720000</x:v>
      </x:c>
      <x:c r="L121" s="44"/>
      <x:c r="M121" s="45">
        <x:f>+K121+L121</x:f>
        <x:v>2720000</x:v>
      </x:c>
      <x:c r="N121" s="37"/>
      <x:c r="V121" s="1"/>
    </x:row>
    <x:row r="122" spans="1:22" s="2" customFormat="1" ht="20.100000000000001" customHeight="1">
      <x:c r="A122" s="299"/>
      <x:c r="B122" s="3" t="s">
        <x:v>1241</x:v>
      </x:c>
      <x:c r="C122" s="3" t="s">
        <x:v>1559</x:v>
      </x:c>
      <x:c r="D122" s="4">
        <x:v>5500000</x:v>
      </x:c>
      <x:c r="E122" s="4">
        <x:f>+D122*0.1</x:f>
        <x:v>550000</x:v>
      </x:c>
      <x:c r="F122" s="5">
        <x:f>+D122+E122</x:f>
        <x:v>6050000</x:v>
      </x:c>
      <x:c r="G122" s="6"/>
      <x:c r="H122" s="299"/>
      <x:c r="I122" s="3" t="s">
        <x:v>1545</x:v>
      </x:c>
      <x:c r="J122" s="3"/>
      <x:c r="K122" s="163"/>
      <x:c r="L122" s="44"/>
      <x:c r="M122" s="45">
        <x:f>+K122+L122</x:f>
        <x:v>0</x:v>
      </x:c>
      <x:c r="N122" s="37" t="s">
        <x:v>532</x:v>
      </x:c>
      <x:c r="V122" s="1"/>
    </x:row>
    <x:row r="123" spans="1:22" s="2" customFormat="1" ht="20.100000000000001" customHeight="1">
      <x:c r="A123" s="299"/>
      <x:c r="B123" s="3"/>
      <x:c r="C123" s="3"/>
      <x:c r="D123" s="4"/>
      <x:c r="E123" s="4"/>
      <x:c r="F123" s="5">
        <x:f>+D123+E123</x:f>
        <x:v>0</x:v>
      </x:c>
      <x:c r="G123" s="6"/>
      <x:c r="H123" s="299"/>
      <x:c r="I123" s="3" t="s">
        <x:v>1241</x:v>
      </x:c>
      <x:c r="J123" s="3" t="s">
        <x:v>1559</x:v>
      </x:c>
      <x:c r="K123" s="163"/>
      <x:c r="L123" s="4"/>
      <x:c r="M123" s="5">
        <x:f>+K123+L123</x:f>
        <x:v>0</x:v>
      </x:c>
      <x:c r="N123" s="6"/>
      <x:c r="V123" s="1"/>
    </x:row>
    <x:row r="124" spans="1:22" s="2" customFormat="1" ht="20.100000000000001" customHeight="1">
      <x:c r="A124" s="300"/>
      <x:c r="B124" s="3"/>
      <x:c r="C124" s="3"/>
      <x:c r="D124" s="4"/>
      <x:c r="E124" s="4">
        <x:f>+D124*0.1</x:f>
        <x:v>0</x:v>
      </x:c>
      <x:c r="F124" s="5">
        <x:f>+D124+E124</x:f>
        <x:v>0</x:v>
      </x:c>
      <x:c r="G124" s="6"/>
      <x:c r="H124" s="300"/>
      <x:c r="I124" s="3"/>
      <x:c r="J124" s="3"/>
      <x:c r="K124" s="163"/>
      <x:c r="L124" s="4"/>
      <x:c r="M124" s="5">
        <x:f>+K124+L124</x:f>
        <x:v>0</x:v>
      </x:c>
      <x:c r="N124" s="6"/>
      <x:c r="V124" s="1"/>
    </x:row>
    <x:row r="125" spans="1:22" s="2" customFormat="1" ht="20.100000000000001" customHeight="1">
      <x:c r="A125" s="7"/>
      <x:c r="B125" s="8"/>
      <x:c r="C125" s="8"/>
      <x:c r="D125" s="9">
        <x:f>SUM(D121:D124)</x:f>
        <x:v>17830000</x:v>
      </x:c>
      <x:c r="E125" s="9">
        <x:f>SUM(E121:E124)</x:f>
        <x:v>550000</x:v>
      </x:c>
      <x:c r="F125" s="10">
        <x:f>SUM(F121:F124)</x:f>
        <x:v>18380000</x:v>
      </x:c>
      <x:c r="G125" s="11"/>
      <x:c r="H125" s="7" t="s">
        <x:v>155</x:v>
      </x:c>
      <x:c r="I125" s="8"/>
      <x:c r="J125" s="8"/>
      <x:c r="K125" s="80">
        <x:f>SUM(K121:K124)</x:f>
        <x:v>2720000</x:v>
      </x:c>
      <x:c r="L125" s="9">
        <x:f>SUM(L121:L124)</x:f>
        <x:v>0</x:v>
      </x:c>
      <x:c r="M125" s="10">
        <x:f>SUM(M121:M124)</x:f>
        <x:v>2720000</x:v>
      </x:c>
      <x:c r="N125" s="11"/>
      <x:c r="V125" s="1"/>
    </x:row>
    <x:row r="126" spans="1:22" s="2" customFormat="1" ht="20.100000000000001" customHeight="1">
      <x:c r="A126" s="301" t="s">
        <x:v>187</x:v>
      </x:c>
      <x:c r="B126" s="3" t="s">
        <x:v>1124</x:v>
      </x:c>
      <x:c r="C126" s="3" t="s">
        <x:v>1006</x:v>
      </x:c>
      <x:c r="D126" s="44">
        <x:v>765000</x:v>
      </x:c>
      <x:c r="E126" s="4">
        <x:f>D126*0.1</x:f>
        <x:v>76500</x:v>
      </x:c>
      <x:c r="F126" s="5">
        <x:f>+D126+E126</x:f>
        <x:v>841500</x:v>
      </x:c>
      <x:c r="G126" s="6"/>
      <x:c r="H126" s="301" t="s">
        <x:v>187</x:v>
      </x:c>
      <x:c r="I126" s="3" t="s">
        <x:v>1568</x:v>
      </x:c>
      <x:c r="J126" s="3" t="s">
        <x:v>946</x:v>
      </x:c>
      <x:c r="K126" s="163"/>
      <x:c r="L126" s="4"/>
      <x:c r="M126" s="5">
        <x:f>+K126+L126</x:f>
        <x:v>0</x:v>
      </x:c>
      <x:c r="N126" s="6"/>
      <x:c r="V126" s="1"/>
    </x:row>
    <x:row r="127" spans="1:22" s="2" customFormat="1" ht="20.100000000000001" customHeight="1">
      <x:c r="A127" s="299"/>
      <x:c r="B127" s="3" t="s">
        <x:v>460</x:v>
      </x:c>
      <x:c r="C127" s="3" t="s">
        <x:v>1478</x:v>
      </x:c>
      <x:c r="D127" s="4"/>
      <x:c r="E127" s="4"/>
      <x:c r="F127" s="5">
        <x:f>+D127+E127</x:f>
        <x:v>0</x:v>
      </x:c>
      <x:c r="G127" s="6"/>
      <x:c r="H127" s="299"/>
      <x:c r="I127" s="3"/>
      <x:c r="J127" s="3"/>
      <x:c r="K127" s="163"/>
      <x:c r="L127" s="4"/>
      <x:c r="M127" s="5">
        <x:f>+K127+L127</x:f>
        <x:v>0</x:v>
      </x:c>
      <x:c r="N127" s="6"/>
      <x:c r="V127" s="1"/>
    </x:row>
    <x:row r="128" spans="1:22" s="2" customFormat="1" ht="20.100000000000001" customHeight="1">
      <x:c r="A128" s="299"/>
      <x:c r="B128" s="3" t="s">
        <x:v>461</x:v>
      </x:c>
      <x:c r="C128" s="3" t="s">
        <x:v>1478</x:v>
      </x:c>
      <x:c r="D128" s="4"/>
      <x:c r="E128" s="4"/>
      <x:c r="F128" s="5">
        <x:f>+D128+E128</x:f>
        <x:v>0</x:v>
      </x:c>
      <x:c r="G128" s="6"/>
      <x:c r="H128" s="299"/>
      <x:c r="I128" s="3"/>
      <x:c r="J128" s="3"/>
      <x:c r="K128" s="163"/>
      <x:c r="L128" s="4"/>
      <x:c r="M128" s="5">
        <x:f>+K128+L128</x:f>
        <x:v>0</x:v>
      </x:c>
      <x:c r="N128" s="6"/>
      <x:c r="V128" s="1"/>
    </x:row>
    <x:row r="129" spans="1:22" s="2" customFormat="1" ht="20.100000000000001" customHeight="1">
      <x:c r="A129" s="7"/>
      <x:c r="B129" s="8"/>
      <x:c r="C129" s="8"/>
      <x:c r="D129" s="9">
        <x:f>SUM(D126:D128)</x:f>
        <x:v>765000</x:v>
      </x:c>
      <x:c r="E129" s="9">
        <x:f>SUM(E126:E128)</x:f>
        <x:v>76500</x:v>
      </x:c>
      <x:c r="F129" s="10">
        <x:f>SUM(F126:F128)</x:f>
        <x:v>841500</x:v>
      </x:c>
      <x:c r="G129" s="11"/>
      <x:c r="H129" s="7" t="s">
        <x:v>155</x:v>
      </x:c>
      <x:c r="I129" s="8"/>
      <x:c r="J129" s="8"/>
      <x:c r="K129" s="80">
        <x:f>SUM(K126:K128)</x:f>
        <x:v>0</x:v>
      </x:c>
      <x:c r="L129" s="9">
        <x:f>SUM(L126:L128)</x:f>
        <x:v>0</x:v>
      </x:c>
      <x:c r="M129" s="10">
        <x:f>SUM(M126:M128)</x:f>
        <x:v>0</x:v>
      </x:c>
      <x:c r="N129" s="11"/>
      <x:c r="V129" s="1"/>
    </x:row>
    <x:row r="130" spans="1:22" s="2" customFormat="1" ht="20.100000000000001" customHeight="1">
      <x:c r="A130" s="301" t="s">
        <x:v>149</x:v>
      </x:c>
      <x:c r="B130" s="3" t="s">
        <x:v>177</x:v>
      </x:c>
      <x:c r="C130" s="3" t="s">
        <x:v>149</x:v>
      </x:c>
      <x:c r="D130" s="4">
        <x:v>955370</x:v>
      </x:c>
      <x:c r="E130" s="4"/>
      <x:c r="F130" s="5">
        <x:f t="shared" ref="F130:F136" si="19">+D130+E130</x:f>
        <x:v>955370</x:v>
      </x:c>
      <x:c r="G130" s="6"/>
      <x:c r="H130" s="301" t="s">
        <x:v>149</x:v>
      </x:c>
      <x:c r="I130" s="3" t="s">
        <x:v>177</x:v>
      </x:c>
      <x:c r="J130" s="3" t="s">
        <x:v>149</x:v>
      </x:c>
      <x:c r="K130" s="163">
        <x:v>455340</x:v>
      </x:c>
      <x:c r="L130" s="4"/>
      <x:c r="M130" s="5">
        <x:f t="shared" ref="M130:M137" si="20">+K130+L130</x:f>
        <x:v>455340</x:v>
      </x:c>
      <x:c r="N130" s="6"/>
      <x:c r="V130" s="1"/>
    </x:row>
    <x:row r="131" spans="1:22" s="2" customFormat="1" ht="20.100000000000001" customHeight="1">
      <x:c r="A131" s="299"/>
      <x:c r="B131" s="3" t="s">
        <x:v>601</x:v>
      </x:c>
      <x:c r="C131" s="3" t="s">
        <x:v>962</x:v>
      </x:c>
      <x:c r="D131" s="44">
        <x:v>336000</x:v>
      </x:c>
      <x:c r="E131" s="4">
        <x:f>+D131*0.1</x:f>
        <x:v>33600</x:v>
      </x:c>
      <x:c r="F131" s="5">
        <x:f t="shared" si="19"/>
        <x:v>369600</x:v>
      </x:c>
      <x:c r="G131" s="6"/>
      <x:c r="H131" s="299"/>
      <x:c r="I131" s="3" t="s">
        <x:v>1359</x:v>
      </x:c>
      <x:c r="J131" s="3" t="s">
        <x:v>1356</x:v>
      </x:c>
      <x:c r="K131" s="163">
        <x:v>102000</x:v>
      </x:c>
      <x:c r="L131" s="4">
        <x:f>+K131*0.1</x:f>
        <x:v>10200</x:v>
      </x:c>
      <x:c r="M131" s="5">
        <x:f t="shared" si="20"/>
        <x:v>112200</x:v>
      </x:c>
      <x:c r="N131" s="6"/>
      <x:c r="V131" s="1"/>
    </x:row>
    <x:row r="132" spans="1:22" s="2" customFormat="1" ht="20.100000000000001" customHeight="1">
      <x:c r="A132" s="299"/>
      <x:c r="B132" s="3" t="s">
        <x:v>926</x:v>
      </x:c>
      <x:c r="C132" s="3" t="s">
        <x:v>409</x:v>
      </x:c>
      <x:c r="D132" s="44">
        <x:v>367870</x:v>
      </x:c>
      <x:c r="E132" s="4"/>
      <x:c r="F132" s="5">
        <x:f t="shared" si="19"/>
        <x:v>367870</x:v>
      </x:c>
      <x:c r="G132" s="6"/>
      <x:c r="H132" s="299"/>
      <x:c r="I132" s="3" t="s">
        <x:v>1542</x:v>
      </x:c>
      <x:c r="J132" s="3" t="s">
        <x:v>817</x:v>
      </x:c>
      <x:c r="K132" s="163"/>
      <x:c r="L132" s="4">
        <x:f>+K132*0.1</x:f>
        <x:v>0</x:v>
      </x:c>
      <x:c r="M132" s="5">
        <x:f t="shared" si="20"/>
        <x:v>0</x:v>
      </x:c>
      <x:c r="N132" s="6"/>
      <x:c r="V132" s="1"/>
    </x:row>
    <x:row r="133" spans="1:22" s="2" customFormat="1" ht="20.100000000000001" customHeight="1">
      <x:c r="A133" s="299"/>
      <x:c r="B133" s="3" t="s">
        <x:v>947</x:v>
      </x:c>
      <x:c r="C133" s="3" t="s">
        <x:v>914</x:v>
      </x:c>
      <x:c r="D133" s="44">
        <x:v>50000</x:v>
      </x:c>
      <x:c r="E133" s="4">
        <x:f>+D133*0.1</x:f>
        <x:v>5000</x:v>
      </x:c>
      <x:c r="F133" s="5">
        <x:f t="shared" si="19"/>
        <x:v>55000</x:v>
      </x:c>
      <x:c r="G133" s="6"/>
      <x:c r="H133" s="299"/>
      <x:c r="I133" s="3" t="s">
        <x:v>1558</x:v>
      </x:c>
      <x:c r="J133" s="3" t="s">
        <x:v>817</x:v>
      </x:c>
      <x:c r="K133" s="163"/>
      <x:c r="L133" s="4">
        <x:f>+K133*0.1</x:f>
        <x:v>0</x:v>
      </x:c>
      <x:c r="M133" s="5">
        <x:f t="shared" si="20"/>
        <x:v>0</x:v>
      </x:c>
      <x:c r="N133" s="6"/>
      <x:c r="V133" s="1"/>
    </x:row>
    <x:row r="134" spans="1:22" s="2" customFormat="1" ht="20.100000000000001" customHeight="1">
      <x:c r="A134" s="299"/>
      <x:c r="B134" s="3" t="s">
        <x:v>1327</x:v>
      </x:c>
      <x:c r="C134" s="3" t="s">
        <x:v>167</x:v>
      </x:c>
      <x:c r="D134" s="44"/>
      <x:c r="E134" s="4"/>
      <x:c r="F134" s="5">
        <x:f t="shared" si="19"/>
        <x:v>0</x:v>
      </x:c>
      <x:c r="G134" s="6"/>
      <x:c r="H134" s="299"/>
      <x:c r="I134" s="3"/>
      <x:c r="J134" s="3"/>
      <x:c r="K134" s="163"/>
      <x:c r="L134" s="4"/>
      <x:c r="M134" s="5">
        <x:f t="shared" si="20"/>
        <x:v>0</x:v>
      </x:c>
      <x:c r="N134" s="6"/>
      <x:c r="V134" s="1"/>
    </x:row>
    <x:row r="135" spans="1:22" s="2" customFormat="1" ht="20.100000000000001" customHeight="1">
      <x:c r="A135" s="299"/>
      <x:c r="B135" s="3" t="s">
        <x:v>247</x:v>
      </x:c>
      <x:c r="C135" s="3" t="s">
        <x:v>231</x:v>
      </x:c>
      <x:c r="D135" s="44">
        <x:v>19597</x:v>
      </x:c>
      <x:c r="E135" s="4">
        <x:v>1959</x:v>
      </x:c>
      <x:c r="F135" s="5">
        <x:f t="shared" si="19"/>
        <x:v>21556</x:v>
      </x:c>
      <x:c r="G135" s="6"/>
      <x:c r="H135" s="299"/>
      <x:c r="I135" s="3"/>
      <x:c r="J135" s="3"/>
      <x:c r="K135" s="4"/>
      <x:c r="L135" s="4"/>
      <x:c r="M135" s="5">
        <x:f t="shared" si="20"/>
        <x:v>0</x:v>
      </x:c>
      <x:c r="N135" s="6"/>
      <x:c r="V135" s="1"/>
    </x:row>
    <x:row r="136" spans="1:22" s="2" customFormat="1" ht="20.100000000000001" customHeight="1">
      <x:c r="A136" s="299"/>
      <x:c r="B136" s="3" t="s">
        <x:v>1444</x:v>
      </x:c>
      <x:c r="C136" s="3" t="s">
        <x:v>817</x:v>
      </x:c>
      <x:c r="D136" s="44"/>
      <x:c r="E136" s="4"/>
      <x:c r="F136" s="5">
        <x:f t="shared" si="19"/>
        <x:v>0</x:v>
      </x:c>
      <x:c r="G136" s="6"/>
      <x:c r="H136" s="299"/>
      <x:c r="I136" s="3"/>
      <x:c r="J136" s="3"/>
      <x:c r="K136" s="4"/>
      <x:c r="L136" s="4"/>
      <x:c r="M136" s="5">
        <x:f t="shared" si="20"/>
        <x:v>0</x:v>
      </x:c>
      <x:c r="N136" s="6"/>
      <x:c r="V136" s="1"/>
    </x:row>
    <x:row r="137" spans="1:22" s="2" customFormat="1" ht="20.100000000000001" customHeight="1">
      <x:c r="A137" s="300"/>
      <x:c r="B137" s="3"/>
      <x:c r="C137" s="3"/>
      <x:c r="D137" s="4"/>
      <x:c r="E137" s="4"/>
      <x:c r="F137" s="5"/>
      <x:c r="G137" s="6"/>
      <x:c r="H137" s="300"/>
      <x:c r="I137" s="3"/>
      <x:c r="J137" s="3"/>
      <x:c r="K137" s="4"/>
      <x:c r="L137" s="4"/>
      <x:c r="M137" s="5">
        <x:f t="shared" si="20"/>
        <x:v>0</x:v>
      </x:c>
      <x:c r="N137" s="6"/>
      <x:c r="V137" s="1"/>
    </x:row>
    <x:row r="138" spans="1:22" s="2" customFormat="1" ht="20.100000000000001" customHeight="1">
      <x:c r="A138" s="7" t="s">
        <x:v>155</x:v>
      </x:c>
      <x:c r="B138" s="8"/>
      <x:c r="C138" s="8"/>
      <x:c r="D138" s="9">
        <x:f>SUM(D130:D137)</x:f>
        <x:v>1728837</x:v>
      </x:c>
      <x:c r="E138" s="9">
        <x:f>SUM(E130:E137)</x:f>
        <x:v>40559</x:v>
      </x:c>
      <x:c r="F138" s="10">
        <x:f>SUM(F130:F137)</x:f>
        <x:v>1769396</x:v>
      </x:c>
      <x:c r="G138" s="11"/>
      <x:c r="H138" s="7" t="s">
        <x:v>155</x:v>
      </x:c>
      <x:c r="I138" s="8"/>
      <x:c r="J138" s="8"/>
      <x:c r="K138" s="9">
        <x:f>SUM(K130:K137)</x:f>
        <x:v>557340</x:v>
      </x:c>
      <x:c r="L138" s="9">
        <x:f>SUM(L130:L137)</x:f>
        <x:v>10200</x:v>
      </x:c>
      <x:c r="M138" s="10">
        <x:f>SUM(M130:M137)</x:f>
        <x:v>567540</x:v>
      </x:c>
      <x:c r="N138" s="11"/>
      <x:c r="V138" s="1"/>
    </x:row>
    <x:row r="139" spans="1:22" s="2" customFormat="1" ht="20.100000000000001" customHeight="1">
      <x:c r="A139" s="12" t="s">
        <x:v>1690</x:v>
      </x:c>
      <x:c r="B139" s="13"/>
      <x:c r="C139" s="13"/>
      <x:c r="D139" s="14">
        <x:f>+D120+D125+D129+D138</x:f>
        <x:v>99397676</x:v>
      </x:c>
      <x:c r="E139" s="14">
        <x:f>+E120+E125+E129+E138</x:f>
        <x:v>8574441.9000000004</x:v>
      </x:c>
      <x:c r="F139" s="15">
        <x:f>+F120+F125+F129+F138</x:f>
        <x:v>107972117.90000001</x:v>
      </x:c>
      <x:c r="G139" s="16"/>
      <x:c r="H139" s="12" t="s">
        <x:v>1690</x:v>
      </x:c>
      <x:c r="I139" s="13"/>
      <x:c r="J139" s="13"/>
      <x:c r="K139" s="14">
        <x:f>+K120+K125+K129+K138</x:f>
        <x:v>15984600</x:v>
      </x:c>
      <x:c r="L139" s="14">
        <x:f>+L120+L125+L129+L138</x:f>
        <x:v>1280926</x:v>
      </x:c>
      <x:c r="M139" s="15">
        <x:f>+M120+M125+M129+M138</x:f>
        <x:v>17265526</x:v>
      </x:c>
      <x:c r="N139" s="16"/>
      <x:c r="V139" s="1"/>
    </x:row>
    <x:row r="140" spans="1:22" s="2" customFormat="1" ht="20.100000000000001" customHeight="1">
      <x:c r="A140" s="23" t="s">
        <x:v>35</x:v>
      </x:c>
      <x:c r="B140" s="24"/>
      <x:c r="C140" s="24"/>
      <x:c r="D140" s="25">
        <x:f>+D97-D139</x:f>
        <x:v>148102324</x:v>
      </x:c>
      <x:c r="E140" s="25">
        <x:f>+E97-E139</x:f>
        <x:v>16175558.1</x:v>
      </x:c>
      <x:c r="F140" s="26">
        <x:f>+F97-F139</x:f>
        <x:v>164277882.09999999</x:v>
      </x:c>
      <x:c r="G140" s="27"/>
      <x:c r="H140" s="23" t="s">
        <x:v>35</x:v>
      </x:c>
      <x:c r="I140" s="24"/>
      <x:c r="J140" s="24"/>
      <x:c r="K140" s="25">
        <x:f>+K97-K139</x:f>
        <x:v>-15984600</x:v>
      </x:c>
      <x:c r="L140" s="25">
        <x:f>+L97-L139</x:f>
        <x:v>-1280926</x:v>
      </x:c>
      <x:c r="M140" s="26">
        <x:f>+M97-M139</x:f>
        <x:v>-17265526</x:v>
      </x:c>
      <x:c r="N140" s="27"/>
      <x:c r="V140" s="1"/>
    </x:row>
    <x:row r="141" spans="1:22" s="2" customFormat="1" ht="20.100000000000001" customHeight="1">
      <x:c r="A141" s="302" t="s">
        <x:v>423</x:v>
      </x:c>
      <x:c r="B141" s="303"/>
      <x:c r="C141" s="303"/>
      <x:c r="D141" s="303"/>
      <x:c r="E141" s="303"/>
      <x:c r="F141" s="304"/>
      <x:c r="G141" s="305"/>
      <x:c r="H141" s="302" t="s">
        <x:v>494</x:v>
      </x:c>
      <x:c r="I141" s="303"/>
      <x:c r="J141" s="303"/>
      <x:c r="K141" s="303"/>
      <x:c r="L141" s="303"/>
      <x:c r="M141" s="304"/>
      <x:c r="N141" s="305"/>
      <x:c r="V141" s="1"/>
    </x:row>
    <x:row r="142" spans="1:22" s="2" customFormat="1" ht="20.100000000000001" customHeight="1">
      <x:c r="A142" s="29" t="s">
        <x:v>147</x:v>
      </x:c>
      <x:c r="B142" s="239" t="s">
        <x:v>144</x:v>
      </x:c>
      <x:c r="C142" s="239" t="s">
        <x:v>150</x:v>
      </x:c>
      <x:c r="D142" s="31" t="s">
        <x:v>145</x:v>
      </x:c>
      <x:c r="E142" s="31" t="s">
        <x:v>152</x:v>
      </x:c>
      <x:c r="F142" s="32" t="s">
        <x:v>146</x:v>
      </x:c>
      <x:c r="G142" s="33" t="s">
        <x:v>154</x:v>
      </x:c>
      <x:c r="H142" s="29" t="s">
        <x:v>147</x:v>
      </x:c>
      <x:c r="I142" s="239" t="s">
        <x:v>144</x:v>
      </x:c>
      <x:c r="J142" s="239" t="s">
        <x:v>150</x:v>
      </x:c>
      <x:c r="K142" s="31" t="s">
        <x:v>145</x:v>
      </x:c>
      <x:c r="L142" s="31" t="s">
        <x:v>152</x:v>
      </x:c>
      <x:c r="M142" s="31" t="s">
        <x:v>146</x:v>
      </x:c>
      <x:c r="N142" s="34" t="s">
        <x:v>154</x:v>
      </x:c>
      <x:c r="V142" s="1"/>
    </x:row>
    <x:row r="143" spans="1:22" s="2" customFormat="1" ht="20.100000000000001" customHeight="1">
      <x:c r="A143" s="238" t="s">
        <x:v>151</x:v>
      </x:c>
      <x:c r="B143" s="38" t="s">
        <x:v>1679</x:v>
      </x:c>
      <x:c r="C143" s="38" t="s">
        <x:v>156</x:v>
      </x:c>
      <x:c r="D143" s="39"/>
      <x:c r="E143" s="39"/>
      <x:c r="F143" s="40">
        <x:f t="shared" ref="F143:F158" si="21">+D143+E143</x:f>
        <x:v>0</x:v>
      </x:c>
      <x:c r="G143" s="18"/>
      <x:c r="H143" s="41" t="s">
        <x:v>151</x:v>
      </x:c>
      <x:c r="I143" s="38" t="s">
        <x:v>1679</x:v>
      </x:c>
      <x:c r="J143" s="38" t="s">
        <x:v>1030</x:v>
      </x:c>
      <x:c r="K143" s="39">
        <x:f>80000000+32000000</x:f>
        <x:v>112000000</x:v>
      </x:c>
      <x:c r="L143" s="39">
        <x:f>6146000+2454000</x:f>
        <x:v>8600000</x:v>
      </x:c>
      <x:c r="M143" s="40">
        <x:f>+K143+L143</x:f>
        <x:v>120600000</x:v>
      </x:c>
      <x:c r="N143" s="42" t="s">
        <x:v>1624</x:v>
      </x:c>
      <x:c r="V143" s="1"/>
    </x:row>
    <x:row r="144" spans="1:22" s="2" customFormat="1" ht="20.100000000000001" customHeight="1">
      <x:c r="A144" s="298" t="s">
        <x:v>148</x:v>
      </x:c>
      <x:c r="B144" s="54" t="s">
        <x:v>1329</x:v>
      </x:c>
      <x:c r="C144" s="54"/>
      <x:c r="D144" s="93"/>
      <x:c r="E144" s="93"/>
      <x:c r="F144" s="94">
        <x:f t="shared" si="21"/>
        <x:v>0</x:v>
      </x:c>
      <x:c r="G144" s="95" t="s">
        <x:v>273</x:v>
      </x:c>
      <x:c r="H144" s="298" t="s">
        <x:v>148</x:v>
      </x:c>
      <x:c r="I144" s="19" t="s">
        <x:v>867</x:v>
      </x:c>
      <x:c r="J144" s="263" t="s">
        <x:v>122</x:v>
      </x:c>
      <x:c r="K144" s="20">
        <x:v>3357000</x:v>
      </x:c>
      <x:c r="L144" s="20">
        <x:f>+K144*0.1</x:f>
        <x:v>335700</x:v>
      </x:c>
      <x:c r="M144" s="21">
        <x:f t="shared" ref="M144:M159" si="22">+K144+L144</x:f>
        <x:v>3692700</x:v>
      </x:c>
      <x:c r="N144" s="22"/>
      <x:c r="V144" s="1"/>
    </x:row>
    <x:row r="145" spans="1:22" s="2" customFormat="1" ht="20.100000000000001" customHeight="1">
      <x:c r="A145" s="299"/>
      <x:c r="B145" s="162" t="s">
        <x:v>1358</x:v>
      </x:c>
      <x:c r="C145" s="162"/>
      <x:c r="D145" s="163"/>
      <x:c r="E145" s="4"/>
      <x:c r="F145" s="193">
        <x:f t="shared" si="21"/>
        <x:v>0</x:v>
      </x:c>
      <x:c r="G145" s="180" t="s">
        <x:v>258</x:v>
      </x:c>
      <x:c r="H145" s="299"/>
      <x:c r="I145" s="3" t="s">
        <x:v>1348</x:v>
      </x:c>
      <x:c r="J145" s="129"/>
      <x:c r="K145" s="4"/>
      <x:c r="L145" s="4">
        <x:f t="shared" ref="L145:L146" si="23">+K145*0.1</x:f>
        <x:v>0</x:v>
      </x:c>
      <x:c r="M145" s="5">
        <x:f t="shared" si="22"/>
        <x:v>0</x:v>
      </x:c>
      <x:c r="N145" s="6"/>
      <x:c r="V145" s="1"/>
    </x:row>
    <x:row r="146" spans="1:22" s="2" customFormat="1" ht="20.100000000000001" customHeight="1">
      <x:c r="A146" s="299"/>
      <x:c r="B146" s="3" t="s">
        <x:v>1362</x:v>
      </x:c>
      <x:c r="C146" s="3"/>
      <x:c r="D146" s="4"/>
      <x:c r="E146" s="4"/>
      <x:c r="F146" s="194">
        <x:f t="shared" si="21"/>
        <x:v>0</x:v>
      </x:c>
      <x:c r="G146" s="180" t="s">
        <x:v>258</x:v>
      </x:c>
      <x:c r="H146" s="299"/>
      <x:c r="I146" s="3" t="s">
        <x:v>838</x:v>
      </x:c>
      <x:c r="J146" s="129" t="s">
        <x:v>1116</x:v>
      </x:c>
      <x:c r="K146" s="4">
        <x:f>8810560</x:f>
        <x:v>8810560</x:v>
      </x:c>
      <x:c r="L146" s="4">
        <x:f t="shared" si="23"/>
        <x:v>881056</x:v>
      </x:c>
      <x:c r="M146" s="5">
        <x:f t="shared" si="22"/>
        <x:v>9691616</x:v>
      </x:c>
      <x:c r="N146" s="6"/>
      <x:c r="V146" s="1"/>
    </x:row>
    <x:row r="147" spans="1:22" s="2" customFormat="1" ht="20.100000000000001" customHeight="1">
      <x:c r="A147" s="299"/>
      <x:c r="B147" s="3" t="s">
        <x:v>1363</x:v>
      </x:c>
      <x:c r="C147" s="3"/>
      <x:c r="D147" s="4"/>
      <x:c r="E147" s="4"/>
      <x:c r="F147" s="194">
        <x:f t="shared" si="21"/>
        <x:v>0</x:v>
      </x:c>
      <x:c r="G147" s="180" t="s">
        <x:v>258</x:v>
      </x:c>
      <x:c r="H147" s="299"/>
      <x:c r="I147" s="3" t="s">
        <x:v>938</x:v>
      </x:c>
      <x:c r="J147" s="129" t="s">
        <x:v>1094</x:v>
      </x:c>
      <x:c r="K147" s="4">
        <x:v>898000</x:v>
      </x:c>
      <x:c r="L147" s="4">
        <x:f>+K147*0.1</x:f>
        <x:v>89800</x:v>
      </x:c>
      <x:c r="M147" s="5">
        <x:f t="shared" si="22"/>
        <x:v>987800</x:v>
      </x:c>
      <x:c r="N147" s="6"/>
      <x:c r="V147" s="1"/>
    </x:row>
    <x:row r="148" spans="1:22" s="2" customFormat="1" ht="20.100000000000001" customHeight="1">
      <x:c r="A148" s="299"/>
      <x:c r="B148" s="3" t="s">
        <x:v>1372</x:v>
      </x:c>
      <x:c r="C148" s="3"/>
      <x:c r="D148" s="4"/>
      <x:c r="E148" s="4"/>
      <x:c r="F148" s="194">
        <x:f t="shared" si="21"/>
        <x:v>0</x:v>
      </x:c>
      <x:c r="G148" s="180" t="s">
        <x:v>258</x:v>
      </x:c>
      <x:c r="H148" s="299"/>
      <x:c r="I148" s="3" t="s">
        <x:v>976</x:v>
      </x:c>
      <x:c r="J148" s="129"/>
      <x:c r="K148" s="44"/>
      <x:c r="L148" s="44">
        <x:f>+K148*0.1</x:f>
        <x:v>0</x:v>
      </x:c>
      <x:c r="M148" s="45">
        <x:f t="shared" si="22"/>
        <x:v>0</x:v>
      </x:c>
      <x:c r="N148" s="179"/>
      <x:c r="V148" s="1"/>
    </x:row>
    <x:row r="149" spans="1:22" s="2" customFormat="1" ht="20.100000000000001" customHeight="1">
      <x:c r="A149" s="299"/>
      <x:c r="B149" s="3" t="s">
        <x:v>1380</x:v>
      </x:c>
      <x:c r="C149" s="3"/>
      <x:c r="D149" s="4"/>
      <x:c r="E149" s="4">
        <x:f>+INT(D149*0.1)</x:f>
        <x:v>0</x:v>
      </x:c>
      <x:c r="F149" s="194">
        <x:f t="shared" si="21"/>
        <x:v>0</x:v>
      </x:c>
      <x:c r="G149" s="180" t="s">
        <x:v>258</x:v>
      </x:c>
      <x:c r="H149" s="299"/>
      <x:c r="I149" s="3" t="s">
        <x:v>846</x:v>
      </x:c>
      <x:c r="J149" s="129" t="s">
        <x:v>1625</x:v>
      </x:c>
      <x:c r="K149" s="4">
        <x:v>711650</x:v>
      </x:c>
      <x:c r="L149" s="4">
        <x:f>+K149*0.1</x:f>
        <x:v>71165</x:v>
      </x:c>
      <x:c r="M149" s="5">
        <x:f t="shared" si="22"/>
        <x:v>782815</x:v>
      </x:c>
      <x:c r="N149" s="6"/>
      <x:c r="V149" s="1"/>
    </x:row>
    <x:row r="150" spans="1:22" s="2" customFormat="1" ht="20.100000000000001" customHeight="1">
      <x:c r="A150" s="299"/>
      <x:c r="B150" s="3" t="s">
        <x:v>938</x:v>
      </x:c>
      <x:c r="C150" s="3"/>
      <x:c r="D150" s="4"/>
      <x:c r="E150" s="4"/>
      <x:c r="F150" s="194">
        <x:f t="shared" si="21"/>
        <x:v>0</x:v>
      </x:c>
      <x:c r="G150" s="6" t="s">
        <x:v>273</x:v>
      </x:c>
      <x:c r="H150" s="299"/>
      <x:c r="I150" s="3" t="s">
        <x:v>1378</x:v>
      </x:c>
      <x:c r="J150" s="129" t="s">
        <x:v>573</x:v>
      </x:c>
      <x:c r="K150" s="4">
        <x:v>387000</x:v>
      </x:c>
      <x:c r="L150" s="4">
        <x:f>+K150*0.1</x:f>
        <x:v>38700</x:v>
      </x:c>
      <x:c r="M150" s="5">
        <x:f t="shared" si="22"/>
        <x:v>425700</x:v>
      </x:c>
      <x:c r="N150" s="6"/>
      <x:c r="V150" s="1"/>
    </x:row>
    <x:row r="151" spans="1:22" s="2" customFormat="1" ht="20.100000000000001" customHeight="1">
      <x:c r="A151" s="299"/>
      <x:c r="B151" s="3" t="s">
        <x:v>1418</x:v>
      </x:c>
      <x:c r="C151" s="3"/>
      <x:c r="D151" s="4"/>
      <x:c r="E151" s="4"/>
      <x:c r="F151" s="194">
        <x:f t="shared" si="21"/>
        <x:v>0</x:v>
      </x:c>
      <x:c r="G151" s="180" t="s">
        <x:v>258</x:v>
      </x:c>
      <x:c r="H151" s="299"/>
      <x:c r="I151" s="3" t="s">
        <x:v>1449</x:v>
      </x:c>
      <x:c r="J151" s="129" t="s">
        <x:v>1642</x:v>
      </x:c>
      <x:c r="K151" s="4">
        <x:v>700000</x:v>
      </x:c>
      <x:c r="L151" s="4">
        <x:f>+K151*0.1</x:f>
        <x:v>70000</x:v>
      </x:c>
      <x:c r="M151" s="5">
        <x:f t="shared" si="22"/>
        <x:v>770000</x:v>
      </x:c>
      <x:c r="N151" s="6"/>
      <x:c r="V151" s="1"/>
    </x:row>
    <x:row r="152" spans="1:22" s="2" customFormat="1" ht="20.100000000000001" customHeight="1">
      <x:c r="A152" s="299"/>
      <x:c r="B152" s="3" t="s">
        <x:v>1406</x:v>
      </x:c>
      <x:c r="C152" s="3"/>
      <x:c r="D152" s="4"/>
      <x:c r="E152" s="4"/>
      <x:c r="F152" s="194">
        <x:f t="shared" si="21"/>
        <x:v>0</x:v>
      </x:c>
      <x:c r="G152" s="180" t="s">
        <x:v>258</x:v>
      </x:c>
      <x:c r="H152" s="299"/>
      <x:c r="I152" s="3"/>
      <x:c r="J152" s="3"/>
      <x:c r="K152" s="4"/>
      <x:c r="L152" s="4"/>
      <x:c r="M152" s="5"/>
      <x:c r="N152" s="6"/>
      <x:c r="V152" s="1"/>
    </x:row>
    <x:row r="153" spans="1:22" s="2" customFormat="1" ht="20.100000000000001" customHeight="1">
      <x:c r="A153" s="299"/>
      <x:c r="B153" s="3" t="s">
        <x:v>276</x:v>
      </x:c>
      <x:c r="C153" s="3"/>
      <x:c r="D153" s="4"/>
      <x:c r="E153" s="4"/>
      <x:c r="F153" s="194">
        <x:f t="shared" si="21"/>
        <x:v>0</x:v>
      </x:c>
      <x:c r="G153" s="180" t="s">
        <x:v>258</x:v>
      </x:c>
      <x:c r="H153" s="299"/>
      <x:c r="I153" s="3"/>
      <x:c r="J153" s="3"/>
      <x:c r="K153" s="4"/>
      <x:c r="L153" s="4"/>
      <x:c r="M153" s="5">
        <x:f t="shared" si="22"/>
        <x:v>0</x:v>
      </x:c>
      <x:c r="N153" s="6"/>
      <x:c r="V153" s="1"/>
    </x:row>
    <x:row r="154" spans="1:22" s="2" customFormat="1" ht="20.100000000000001" customHeight="1">
      <x:c r="A154" s="299"/>
      <x:c r="B154" s="3" t="s">
        <x:v>1400</x:v>
      </x:c>
      <x:c r="C154" s="3"/>
      <x:c r="D154" s="4"/>
      <x:c r="E154" s="4"/>
      <x:c r="F154" s="194">
        <x:f t="shared" si="21"/>
        <x:v>0</x:v>
      </x:c>
      <x:c r="G154" s="6" t="s">
        <x:v>273</x:v>
      </x:c>
      <x:c r="H154" s="299"/>
      <x:c r="I154" s="3"/>
      <x:c r="J154" s="3"/>
      <x:c r="K154" s="4"/>
      <x:c r="L154" s="4"/>
      <x:c r="M154" s="5">
        <x:f t="shared" si="22"/>
        <x:v>0</x:v>
      </x:c>
      <x:c r="N154" s="6"/>
      <x:c r="V154" s="1"/>
    </x:row>
    <x:row r="155" spans="1:22" s="2" customFormat="1" ht="20.100000000000001" customHeight="1">
      <x:c r="A155" s="299"/>
      <x:c r="B155" s="3" t="s">
        <x:v>1448</x:v>
      </x:c>
      <x:c r="C155" s="3"/>
      <x:c r="D155" s="4"/>
      <x:c r="E155" s="4">
        <x:f>+D155*0.1</x:f>
        <x:v>0</x:v>
      </x:c>
      <x:c r="F155" s="5">
        <x:f t="shared" si="21"/>
        <x:v>0</x:v>
      </x:c>
      <x:c r="G155" s="6" t="s">
        <x:v>273</x:v>
      </x:c>
      <x:c r="H155" s="299"/>
      <x:c r="I155" s="3"/>
      <x:c r="J155" s="3"/>
      <x:c r="K155" s="4"/>
      <x:c r="L155" s="4"/>
      <x:c r="M155" s="5">
        <x:f t="shared" si="22"/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/>
      <x:c r="F156" s="5">
        <x:f t="shared" si="21"/>
        <x:v>0</x:v>
      </x:c>
      <x:c r="G156" s="6"/>
      <x:c r="H156" s="299"/>
      <x:c r="I156" s="3"/>
      <x:c r="J156" s="3"/>
      <x:c r="K156" s="4"/>
      <x:c r="L156" s="4"/>
      <x:c r="M156" s="5">
        <x:f t="shared" si="22"/>
        <x:v>0</x:v>
      </x:c>
      <x:c r="N156" s="6"/>
      <x:c r="V156" s="1"/>
    </x:row>
    <x:row r="157" spans="1:22" s="2" customFormat="1" ht="20.100000000000001" customHeight="1">
      <x:c r="A157" s="299"/>
      <x:c r="B157" s="3"/>
      <x:c r="C157" s="3"/>
      <x:c r="D157" s="4"/>
      <x:c r="E157" s="4"/>
      <x:c r="F157" s="5"/>
      <x:c r="G157" s="6"/>
      <x:c r="H157" s="299"/>
      <x:c r="I157" s="3"/>
      <x:c r="J157" s="3"/>
      <x:c r="K157" s="4"/>
      <x:c r="L157" s="4"/>
      <x:c r="M157" s="5">
        <x:f t="shared" si="22"/>
        <x:v>0</x:v>
      </x:c>
      <x:c r="N157" s="6"/>
      <x:c r="V157" s="1"/>
    </x:row>
    <x:row r="158" spans="1:22" s="2" customFormat="1" ht="20.100000000000001" customHeight="1">
      <x:c r="A158" s="299"/>
      <x:c r="B158" s="3"/>
      <x:c r="C158" s="3"/>
      <x:c r="D158" s="4"/>
      <x:c r="E158" s="4"/>
      <x:c r="F158" s="5">
        <x:f t="shared" si="21"/>
        <x:v>0</x:v>
      </x:c>
      <x:c r="G158" s="6"/>
      <x:c r="H158" s="299"/>
      <x:c r="I158" s="3"/>
      <x:c r="J158" s="3"/>
      <x:c r="K158" s="4"/>
      <x:c r="L158" s="4"/>
      <x:c r="M158" s="5">
        <x:f t="shared" si="22"/>
        <x:v>0</x:v>
      </x:c>
      <x:c r="N158" s="6"/>
      <x:c r="V158" s="1"/>
    </x:row>
    <x:row r="159" spans="1:22" s="2" customFormat="1" ht="20.100000000000001" customHeight="1">
      <x:c r="A159" s="300"/>
      <x:c r="B159" s="3"/>
      <x:c r="C159" s="3"/>
      <x:c r="D159" s="4"/>
      <x:c r="E159" s="4"/>
      <x:c r="F159" s="5"/>
      <x:c r="G159" s="6"/>
      <x:c r="H159" s="300"/>
      <x:c r="I159" s="3"/>
      <x:c r="J159" s="3"/>
      <x:c r="K159" s="4"/>
      <x:c r="L159" s="4"/>
      <x:c r="M159" s="5">
        <x:f t="shared" si="22"/>
        <x:v>0</x:v>
      </x:c>
      <x:c r="N159" s="6"/>
      <x:c r="V159" s="1"/>
    </x:row>
    <x:row r="160" spans="1:22" s="2" customFormat="1" ht="20.100000000000001" customHeight="1">
      <x:c r="A160" s="7" t="s">
        <x:v>155</x:v>
      </x:c>
      <x:c r="B160" s="8"/>
      <x:c r="C160" s="8"/>
      <x:c r="D160" s="9">
        <x:f>SUM(D144:D159)</x:f>
        <x:v>0</x:v>
      </x:c>
      <x:c r="E160" s="9">
        <x:f>SUM(E144:E159)</x:f>
        <x:v>0</x:v>
      </x:c>
      <x:c r="F160" s="10">
        <x:f>SUM(F144:F159)</x:f>
        <x:v>0</x:v>
      </x:c>
      <x:c r="G160" s="11"/>
      <x:c r="H160" s="7"/>
      <x:c r="I160" s="8"/>
      <x:c r="J160" s="8"/>
      <x:c r="K160" s="9">
        <x:f>SUM(K144:K159)</x:f>
        <x:v>14864210</x:v>
      </x:c>
      <x:c r="L160" s="9">
        <x:f>SUM(L144:L159)</x:f>
        <x:v>1486421</x:v>
      </x:c>
      <x:c r="M160" s="10">
        <x:f>SUM(M144:M159)</x:f>
        <x:v>16350631</x:v>
      </x:c>
      <x:c r="N160" s="11"/>
      <x:c r="V160" s="1"/>
    </x:row>
    <x:row r="161" spans="1:22" s="2" customFormat="1" ht="20.100000000000001" customHeight="1">
      <x:c r="A161" s="301" t="s">
        <x:v>153</x:v>
      </x:c>
      <x:c r="B161" s="3" t="s">
        <x:v>1241</x:v>
      </x:c>
      <x:c r="C161" s="3" t="s">
        <x:v>1594</x:v>
      </x:c>
      <x:c r="D161" s="44"/>
      <x:c r="E161" s="44"/>
      <x:c r="F161" s="45">
        <x:f>+D161+E161</x:f>
        <x:v>0</x:v>
      </x:c>
      <x:c r="G161" s="180" t="s">
        <x:v>258</x:v>
      </x:c>
      <x:c r="H161" s="301" t="s">
        <x:v>153</x:v>
      </x:c>
      <x:c r="I161" s="3" t="s">
        <x:v>1677</x:v>
      </x:c>
      <x:c r="J161" s="3" t="s">
        <x:v>1083</x:v>
      </x:c>
      <x:c r="K161" s="4">
        <x:v>27080000</x:v>
      </x:c>
      <x:c r="L161" s="4"/>
      <x:c r="M161" s="5">
        <x:f>+K161+L161</x:f>
        <x:v>27080000</x:v>
      </x:c>
      <x:c r="N161" s="6"/>
      <x:c r="V161" s="1"/>
    </x:row>
    <x:row r="162" spans="1:22" s="2" customFormat="1" ht="20.100000000000001" customHeight="1">
      <x:c r="A162" s="299"/>
      <x:c r="B162" s="3"/>
      <x:c r="C162" s="3"/>
      <x:c r="D162" s="44"/>
      <x:c r="E162" s="44">
        <x:f>+D162*0.1</x:f>
        <x:v>0</x:v>
      </x:c>
      <x:c r="F162" s="45">
        <x:f>+D162+E162</x:f>
        <x:v>0</x:v>
      </x:c>
      <x:c r="G162" s="37"/>
      <x:c r="H162" s="299"/>
      <x:c r="I162" s="3"/>
      <x:c r="J162" s="3"/>
      <x:c r="K162" s="4"/>
      <x:c r="L162" s="4"/>
      <x:c r="M162" s="5">
        <x:f>+K162+L162</x:f>
        <x:v>0</x:v>
      </x:c>
      <x:c r="N162" s="6"/>
      <x:c r="V162" s="1"/>
    </x:row>
    <x:row r="163" spans="1:22" s="2" customFormat="1" ht="20.100000000000001" customHeight="1">
      <x:c r="A163" s="299"/>
      <x:c r="B163" s="3"/>
      <x:c r="C163" s="3"/>
      <x:c r="D163" s="4"/>
      <x:c r="E163" s="4">
        <x:f>+D163*0.1</x:f>
        <x:v>0</x:v>
      </x:c>
      <x:c r="F163" s="5">
        <x:f>+D163+E163</x:f>
        <x:v>0</x:v>
      </x:c>
      <x:c r="G163" s="6"/>
      <x:c r="H163" s="299"/>
      <x:c r="I163" s="3"/>
      <x:c r="J163" s="3"/>
      <x:c r="K163" s="4"/>
      <x:c r="L163" s="4"/>
      <x:c r="M163" s="5">
        <x:f>+K163+L163</x:f>
        <x:v>0</x:v>
      </x:c>
      <x:c r="N163" s="6"/>
      <x:c r="V163" s="1"/>
    </x:row>
    <x:row r="164" spans="1:22" s="2" customFormat="1" ht="20.100000000000001" customHeight="1">
      <x:c r="A164" s="300"/>
      <x:c r="B164" s="3"/>
      <x:c r="C164" s="3"/>
      <x:c r="D164" s="4"/>
      <x:c r="E164" s="4">
        <x:f>+D164*0.1</x:f>
        <x:v>0</x:v>
      </x:c>
      <x:c r="F164" s="5">
        <x:f>+D164+E164</x:f>
        <x:v>0</x:v>
      </x:c>
      <x:c r="G164" s="6"/>
      <x:c r="H164" s="300"/>
      <x:c r="I164" s="3"/>
      <x:c r="J164" s="3"/>
      <x:c r="K164" s="4"/>
      <x:c r="L164" s="4"/>
      <x:c r="M164" s="5">
        <x:f>+K164+L164</x:f>
        <x:v>0</x:v>
      </x:c>
      <x:c r="N164" s="6"/>
      <x:c r="V164" s="1"/>
    </x:row>
    <x:row r="165" spans="1:22" s="2" customFormat="1" ht="20.100000000000001" customHeight="1">
      <x:c r="A165" s="7" t="s">
        <x:v>155</x:v>
      </x:c>
      <x:c r="B165" s="8"/>
      <x:c r="C165" s="8"/>
      <x:c r="D165" s="9">
        <x:f>SUM(D161:D164)</x:f>
        <x:v>0</x:v>
      </x:c>
      <x:c r="E165" s="9">
        <x:f>SUM(E161:E164)</x:f>
        <x:v>0</x:v>
      </x:c>
      <x:c r="F165" s="10">
        <x:f>SUM(F161:F164)</x:f>
        <x:v>0</x:v>
      </x:c>
      <x:c r="G165" s="11"/>
      <x:c r="H165" s="7"/>
      <x:c r="I165" s="8"/>
      <x:c r="J165" s="8"/>
      <x:c r="K165" s="9">
        <x:f>SUM(K161:K164)</x:f>
        <x:v>27080000</x:v>
      </x:c>
      <x:c r="L165" s="9">
        <x:f>SUM(L161:L164)</x:f>
        <x:v>0</x:v>
      </x:c>
      <x:c r="M165" s="10">
        <x:f>SUM(M161:M164)</x:f>
        <x:v>27080000</x:v>
      </x:c>
      <x:c r="N165" s="11"/>
      <x:c r="V165" s="1"/>
    </x:row>
    <x:row r="166" spans="1:22" s="2" customFormat="1" ht="20.100000000000001" customHeight="1">
      <x:c r="A166" s="301" t="s">
        <x:v>187</x:v>
      </x:c>
      <x:c r="B166" s="3" t="s">
        <x:v>484</x:v>
      </x:c>
      <x:c r="C166" s="3" t="s">
        <x:v>1373</x:v>
      </x:c>
      <x:c r="D166" s="4"/>
      <x:c r="E166" s="4">
        <x:f>+D166*0.1</x:f>
        <x:v>0</x:v>
      </x:c>
      <x:c r="F166" s="5">
        <x:f>+D166+E166</x:f>
        <x:v>0</x:v>
      </x:c>
      <x:c r="G166" s="180" t="s">
        <x:v>258</x:v>
      </x:c>
      <x:c r="H166" s="301" t="s">
        <x:v>187</x:v>
      </x:c>
      <x:c r="I166" s="3" t="s">
        <x:v>857</x:v>
      </x:c>
      <x:c r="J166" s="3" t="s">
        <x:v>1006</x:v>
      </x:c>
      <x:c r="K166" s="4">
        <x:v>300000</x:v>
      </x:c>
      <x:c r="L166" s="4">
        <x:f>+K166*0.1</x:f>
        <x:v>30000</x:v>
      </x:c>
      <x:c r="M166" s="5">
        <x:f>+K166+L166</x:f>
        <x:v>330000</x:v>
      </x:c>
      <x:c r="N166" s="6"/>
      <x:c r="V166" s="1"/>
    </x:row>
    <x:row r="167" spans="1:22" s="2" customFormat="1" ht="20.100000000000001" customHeight="1">
      <x:c r="A167" s="299"/>
      <x:c r="B167" s="3"/>
      <x:c r="C167" s="3"/>
      <x:c r="D167" s="4"/>
      <x:c r="E167" s="4"/>
      <x:c r="F167" s="5">
        <x:f>+D167+E167</x:f>
        <x:v>0</x:v>
      </x:c>
      <x:c r="G167" s="180"/>
      <x:c r="H167" s="299"/>
      <x:c r="I167" s="3" t="s">
        <x:v>559</x:v>
      </x:c>
      <x:c r="J167" s="3" t="s">
        <x:v>948</x:v>
      </x:c>
      <x:c r="K167" s="4"/>
      <x:c r="L167" s="4">
        <x:f>+K167*0.1</x:f>
        <x:v>0</x:v>
      </x:c>
      <x:c r="M167" s="5">
        <x:f>+K167+L167</x:f>
        <x:v>0</x:v>
      </x:c>
      <x:c r="N167" s="6"/>
      <x:c r="V167" s="1"/>
    </x:row>
    <x:row r="168" spans="1:22" s="2" customFormat="1" ht="20.100000000000001" customHeight="1">
      <x:c r="A168" s="299"/>
      <x:c r="B168" s="3"/>
      <x:c r="C168" s="3"/>
      <x:c r="D168" s="4"/>
      <x:c r="E168" s="4"/>
      <x:c r="F168" s="5">
        <x:f>+D168+E168</x:f>
        <x:v>0</x:v>
      </x:c>
      <x:c r="G168" s="180"/>
      <x:c r="H168" s="299"/>
      <x:c r="I168" s="3"/>
      <x:c r="J168" s="3"/>
      <x:c r="K168" s="4"/>
      <x:c r="L168" s="4"/>
      <x:c r="M168" s="5">
        <x:f>+K168+L168</x:f>
        <x:v>0</x:v>
      </x:c>
      <x:c r="N168" s="6"/>
      <x:c r="V168" s="1"/>
    </x:row>
    <x:row r="169" spans="1:22" s="2" customFormat="1" ht="20.100000000000001" customHeight="1">
      <x:c r="A169" s="300"/>
      <x:c r="B169" s="3"/>
      <x:c r="C169" s="3"/>
      <x:c r="D169" s="4"/>
      <x:c r="E169" s="4"/>
      <x:c r="F169" s="5">
        <x:f>+D169+E169</x:f>
        <x:v>0</x:v>
      </x:c>
      <x:c r="G169" s="6"/>
      <x:c r="H169" s="300"/>
      <x:c r="I169" s="3"/>
      <x:c r="J169" s="3"/>
      <x:c r="K169" s="4"/>
      <x:c r="L169" s="4"/>
      <x:c r="M169" s="5">
        <x:f>+K169+L169</x:f>
        <x:v>0</x:v>
      </x:c>
      <x:c r="N169" s="6"/>
      <x:c r="V169" s="1"/>
    </x:row>
    <x:row r="170" spans="1:22" s="2" customFormat="1" ht="20.100000000000001" customHeight="1">
      <x:c r="A170" s="7" t="s">
        <x:v>155</x:v>
      </x:c>
      <x:c r="B170" s="8"/>
      <x:c r="C170" s="8"/>
      <x:c r="D170" s="9">
        <x:f>SUM(D166:D169)</x:f>
        <x:v>0</x:v>
      </x:c>
      <x:c r="E170" s="9">
        <x:f>SUM(E166:E169)</x:f>
        <x:v>0</x:v>
      </x:c>
      <x:c r="F170" s="10">
        <x:f>SUM(F166:F169)</x:f>
        <x:v>0</x:v>
      </x:c>
      <x:c r="G170" s="11"/>
      <x:c r="H170" s="7"/>
      <x:c r="I170" s="8"/>
      <x:c r="J170" s="8"/>
      <x:c r="K170" s="9">
        <x:f>SUM(K166:K169)</x:f>
        <x:v>300000</x:v>
      </x:c>
      <x:c r="L170" s="9">
        <x:f>SUM(L166:L169)</x:f>
        <x:v>30000</x:v>
      </x:c>
      <x:c r="M170" s="10">
        <x:f>SUM(M166:M169)</x:f>
        <x:v>330000</x:v>
      </x:c>
      <x:c r="N170" s="11"/>
      <x:c r="V170" s="1"/>
    </x:row>
    <x:row r="171" spans="1:22" s="2" customFormat="1" ht="20.100000000000001" customHeight="1">
      <x:c r="A171" s="301" t="s">
        <x:v>149</x:v>
      </x:c>
      <x:c r="B171" s="3" t="s">
        <x:v>1404</x:v>
      </x:c>
      <x:c r="C171" s="3" t="s">
        <x:v>887</x:v>
      </x:c>
      <x:c r="D171" s="4">
        <x:v>3460</x:v>
      </x:c>
      <x:c r="E171" s="4"/>
      <x:c r="F171" s="5">
        <x:f>+D171+E171</x:f>
        <x:v>3460</x:v>
      </x:c>
      <x:c r="G171" s="6" t="s">
        <x:v>489</x:v>
      </x:c>
      <x:c r="H171" s="301" t="s">
        <x:v>149</x:v>
      </x:c>
      <x:c r="I171" s="3" t="s">
        <x:v>169</x:v>
      </x:c>
      <x:c r="J171" s="3" t="s">
        <x:v>149</x:v>
      </x:c>
      <x:c r="K171" s="4">
        <x:v>2435270</x:v>
      </x:c>
      <x:c r="L171" s="4">
        <x:v>7000</x:v>
      </x:c>
      <x:c r="M171" s="5">
        <x:f t="shared" ref="M171:M179" si="24">+K171+L171</x:f>
        <x:v>2442270</x:v>
      </x:c>
      <x:c r="N171" s="6" t="s">
        <x:v>1518</x:v>
      </x:c>
      <x:c r="V171" s="1"/>
    </x:row>
    <x:row r="172" spans="1:22" s="2" customFormat="1" ht="20.100000000000001" customHeight="1">
      <x:c r="A172" s="299"/>
      <x:c r="B172" s="3" t="s">
        <x:v>247</x:v>
      </x:c>
      <x:c r="C172" s="3" t="s">
        <x:v>571</x:v>
      </x:c>
      <x:c r="D172" s="4">
        <x:f>217500*2</x:f>
        <x:v>435000</x:v>
      </x:c>
      <x:c r="E172" s="4">
        <x:f>+D172*0.1</x:f>
        <x:v>43500</x:v>
      </x:c>
      <x:c r="F172" s="5">
        <x:f>+D172+E172</x:f>
        <x:v>478500</x:v>
      </x:c>
      <x:c r="G172" s="6" t="s">
        <x:v>441</x:v>
      </x:c>
      <x:c r="H172" s="299"/>
      <x:c r="I172" s="3" t="s">
        <x:v>1481</x:v>
      </x:c>
      <x:c r="J172" s="3" t="s">
        <x:v>1356</x:v>
      </x:c>
      <x:c r="K172" s="4">
        <x:v>216000</x:v>
      </x:c>
      <x:c r="L172" s="4">
        <x:f>+K172*0.1</x:f>
        <x:v>21600</x:v>
      </x:c>
      <x:c r="M172" s="5">
        <x:f t="shared" si="24"/>
        <x:v>237600</x:v>
      </x:c>
      <x:c r="N172" s="6"/>
      <x:c r="V172" s="1"/>
    </x:row>
    <x:row r="173" spans="1:22" s="2" customFormat="1" ht="20.100000000000001" customHeight="1">
      <x:c r="A173" s="299"/>
      <x:c r="B173" s="3"/>
      <x:c r="C173" s="3"/>
      <x:c r="D173" s="4"/>
      <x:c r="E173" s="4"/>
      <x:c r="F173" s="5">
        <x:f>+D173+E173</x:f>
        <x:v>0</x:v>
      </x:c>
      <x:c r="G173" s="6"/>
      <x:c r="H173" s="299"/>
      <x:c r="I173" s="3" t="s">
        <x:v>261</x:v>
      </x:c>
      <x:c r="J173" s="3" t="s">
        <x:v>517</x:v>
      </x:c>
      <x:c r="K173" s="4">
        <x:v>500000</x:v>
      </x:c>
      <x:c r="L173" s="4"/>
      <x:c r="M173" s="5">
        <x:f t="shared" si="24"/>
        <x:v>500000</x:v>
      </x:c>
      <x:c r="N173" s="6"/>
      <x:c r="V173" s="1"/>
    </x:row>
    <x:row r="174" spans="1:22" s="2" customFormat="1" ht="20.100000000000001" customHeight="1">
      <x:c r="A174" s="299"/>
      <x:c r="B174" s="3"/>
      <x:c r="C174" s="3"/>
      <x:c r="D174" s="4"/>
      <x:c r="E174" s="4"/>
      <x:c r="F174" s="5">
        <x:f t="shared" ref="F174:F180" si="25">+D174+E174</x:f>
        <x:v>0</x:v>
      </x:c>
      <x:c r="G174" s="6"/>
      <x:c r="H174" s="299"/>
      <x:c r="I174" s="3" t="s">
        <x:v>527</x:v>
      </x:c>
      <x:c r="J174" s="3" t="s">
        <x:v>914</x:v>
      </x:c>
      <x:c r="K174" s="4">
        <x:v>130000</x:v>
      </x:c>
      <x:c r="L174" s="4">
        <x:f>+K174*0.1</x:f>
        <x:v>13000</x:v>
      </x:c>
      <x:c r="M174" s="5">
        <x:f t="shared" si="24"/>
        <x:v>143000</x:v>
      </x:c>
      <x:c r="N174" s="6"/>
      <x:c r="V174" s="1"/>
    </x:row>
    <x:row r="175" spans="1:22" s="2" customFormat="1" ht="20.100000000000001" customHeight="1">
      <x:c r="A175" s="299"/>
      <x:c r="B175" s="3"/>
      <x:c r="C175" s="3"/>
      <x:c r="D175" s="4"/>
      <x:c r="E175" s="4"/>
      <x:c r="F175" s="5">
        <x:f t="shared" si="25"/>
        <x:v>0</x:v>
      </x:c>
      <x:c r="G175" s="6"/>
      <x:c r="H175" s="299"/>
      <x:c r="I175" s="3" t="s">
        <x:v>247</x:v>
      </x:c>
      <x:c r="J175" s="3" t="s">
        <x:v>231</x:v>
      </x:c>
      <x:c r="K175" s="4">
        <x:f>20577+20577</x:f>
        <x:v>41154</x:v>
      </x:c>
      <x:c r="L175" s="4">
        <x:f>2057+2057</x:f>
        <x:v>4114</x:v>
      </x:c>
      <x:c r="M175" s="5">
        <x:f t="shared" si="24"/>
        <x:v>45268</x:v>
      </x:c>
      <x:c r="N175" s="6" t="s">
        <x:v>1451</x:v>
      </x:c>
      <x:c r="V175" s="1"/>
    </x:row>
    <x:row r="176" spans="1:22" s="2" customFormat="1" ht="20.100000000000001" customHeight="1">
      <x:c r="A176" s="299"/>
      <x:c r="B176" s="3"/>
      <x:c r="C176" s="3"/>
      <x:c r="D176" s="4"/>
      <x:c r="E176" s="4"/>
      <x:c r="F176" s="5">
        <x:f t="shared" si="25"/>
        <x:v>0</x:v>
      </x:c>
      <x:c r="G176" s="6"/>
      <x:c r="H176" s="299"/>
      <x:c r="I176" s="3" t="s">
        <x:v>555</x:v>
      </x:c>
      <x:c r="J176" s="3" t="s">
        <x:v>167</x:v>
      </x:c>
      <x:c r="K176" s="4">
        <x:v>48000</x:v>
      </x:c>
      <x:c r="L176" s="4">
        <x:f>+K176*0.1</x:f>
        <x:v>4800</x:v>
      </x:c>
      <x:c r="M176" s="5">
        <x:f t="shared" si="24"/>
        <x:v>52800</x:v>
      </x:c>
      <x:c r="N176" s="6"/>
      <x:c r="V176" s="1"/>
    </x:row>
    <x:row r="177" spans="1:22" s="2" customFormat="1" ht="20.100000000000001" customHeight="1">
      <x:c r="A177" s="299"/>
      <x:c r="B177" s="3"/>
      <x:c r="C177" s="3"/>
      <x:c r="D177" s="4"/>
      <x:c r="E177" s="4"/>
      <x:c r="F177" s="5">
        <x:f t="shared" si="25"/>
        <x:v>0</x:v>
      </x:c>
      <x:c r="G177" s="6"/>
      <x:c r="H177" s="299"/>
      <x:c r="I177" s="3" t="s">
        <x:v>1479</x:v>
      </x:c>
      <x:c r="J177" s="3" t="s">
        <x:v>520</x:v>
      </x:c>
      <x:c r="K177" s="4"/>
      <x:c r="L177" s="4">
        <x:f>+K177*0.1</x:f>
        <x:v>0</x:v>
      </x:c>
      <x:c r="M177" s="5">
        <x:f t="shared" si="24"/>
        <x:v>0</x:v>
      </x:c>
      <x:c r="N177" s="6"/>
      <x:c r="V177" s="1"/>
    </x:row>
    <x:row r="178" spans="1:22" s="2" customFormat="1" ht="20.100000000000001" customHeight="1">
      <x:c r="A178" s="299"/>
      <x:c r="B178" s="3"/>
      <x:c r="C178" s="3"/>
      <x:c r="D178" s="4"/>
      <x:c r="E178" s="4"/>
      <x:c r="F178" s="5">
        <x:f t="shared" si="25"/>
        <x:v>0</x:v>
      </x:c>
      <x:c r="G178" s="6"/>
      <x:c r="H178" s="299"/>
      <x:c r="I178" s="3" t="s">
        <x:v>1425</x:v>
      </x:c>
      <x:c r="J178" s="3" t="s">
        <x:v>1616</x:v>
      </x:c>
      <x:c r="K178" s="4">
        <x:v>578765</x:v>
      </x:c>
      <x:c r="L178" s="4">
        <x:f>+K178*0.1-1</x:f>
        <x:v>57875.5</x:v>
      </x:c>
      <x:c r="M178" s="5">
        <x:f t="shared" si="24"/>
        <x:v>636640.5</x:v>
      </x:c>
      <x:c r="N178" s="6" t="s">
        <x:v>1633</x:v>
      </x:c>
      <x:c r="V178" s="1"/>
    </x:row>
    <x:row r="179" spans="1:22" s="2" customFormat="1" ht="20.100000000000001" customHeight="1">
      <x:c r="A179" s="299"/>
      <x:c r="B179" s="3"/>
      <x:c r="C179" s="3"/>
      <x:c r="D179" s="4"/>
      <x:c r="E179" s="4"/>
      <x:c r="F179" s="5">
        <x:f t="shared" si="25"/>
        <x:v>0</x:v>
      </x:c>
      <x:c r="G179" s="6"/>
      <x:c r="H179" s="299"/>
      <x:c r="I179" s="3" t="s">
        <x:v>1425</x:v>
      </x:c>
      <x:c r="J179" s="3" t="s">
        <x:v>1614</x:v>
      </x:c>
      <x:c r="K179" s="4">
        <x:v>143000</x:v>
      </x:c>
      <x:c r="L179" s="4">
        <x:f>+K179*0.1</x:f>
        <x:v>14300</x:v>
      </x:c>
      <x:c r="M179" s="5">
        <x:f t="shared" si="24"/>
        <x:v>157300</x:v>
      </x:c>
      <x:c r="N179" s="6"/>
      <x:c r="V179" s="1"/>
    </x:row>
    <x:row r="180" spans="1:22" s="2" customFormat="1" ht="20.100000000000001" customHeight="1">
      <x:c r="A180" s="300"/>
      <x:c r="B180" s="3"/>
      <x:c r="C180" s="3"/>
      <x:c r="D180" s="4"/>
      <x:c r="E180" s="4"/>
      <x:c r="F180" s="5">
        <x:f t="shared" si="25"/>
        <x:v>0</x:v>
      </x:c>
      <x:c r="G180" s="6"/>
      <x:c r="H180" s="300"/>
      <x:c r="I180" s="3" t="s">
        <x:v>1663</x:v>
      </x:c>
      <x:c r="J180" s="3" t="s">
        <x:v>312</x:v>
      </x:c>
      <x:c r="K180" s="4">
        <x:v>1548000</x:v>
      </x:c>
      <x:c r="L180" s="4">
        <x:f>+K180*0.1</x:f>
        <x:v>154800</x:v>
      </x:c>
      <x:c r="M180" s="5">
        <x:f>+K180+L180</x:f>
        <x:v>1702800</x:v>
      </x:c>
      <x:c r="N180" s="6"/>
      <x:c r="V180" s="1"/>
    </x:row>
    <x:row r="181" spans="1:22" s="2" customFormat="1" ht="20.100000000000001" customHeight="1">
      <x:c r="A181" s="7" t="s">
        <x:v>155</x:v>
      </x:c>
      <x:c r="B181" s="8"/>
      <x:c r="C181" s="8"/>
      <x:c r="D181" s="9">
        <x:f>SUM(D171:D180)</x:f>
        <x:v>438460</x:v>
      </x:c>
      <x:c r="E181" s="9">
        <x:f>SUM(E171:E180)</x:f>
        <x:v>43500</x:v>
      </x:c>
      <x:c r="F181" s="10">
        <x:f>SUM(F171:F180)</x:f>
        <x:v>481960</x:v>
      </x:c>
      <x:c r="G181" s="11"/>
      <x:c r="H181" s="7"/>
      <x:c r="I181" s="8"/>
      <x:c r="J181" s="8"/>
      <x:c r="K181" s="9">
        <x:f>SUM(K171:K180)</x:f>
        <x:v>5640189</x:v>
      </x:c>
      <x:c r="L181" s="9">
        <x:f>SUM(L171:L180)</x:f>
        <x:v>277489.5</x:v>
      </x:c>
      <x:c r="M181" s="10">
        <x:f>SUM(M171:M180)</x:f>
        <x:v>5917678.5</x:v>
      </x:c>
      <x:c r="N181" s="11"/>
      <x:c r="V181" s="1"/>
    </x:row>
    <x:row r="182" spans="1:22" s="2" customFormat="1" ht="20.100000000000001" customHeight="1">
      <x:c r="A182" s="12" t="s">
        <x:v>1690</x:v>
      </x:c>
      <x:c r="B182" s="13"/>
      <x:c r="C182" s="13"/>
      <x:c r="D182" s="14">
        <x:f>+D160+D165+D170+D181</x:f>
        <x:v>438460</x:v>
      </x:c>
      <x:c r="E182" s="14">
        <x:f>+E160+E165+E170+E181</x:f>
        <x:v>43500</x:v>
      </x:c>
      <x:c r="F182" s="15">
        <x:f>+F160+F165+F170+F181</x:f>
        <x:v>481960</x:v>
      </x:c>
      <x:c r="G182" s="16"/>
      <x:c r="H182" s="12"/>
      <x:c r="I182" s="13"/>
      <x:c r="J182" s="13"/>
      <x:c r="K182" s="14">
        <x:f>+K160+K165+K170+K181</x:f>
        <x:v>47884399</x:v>
      </x:c>
      <x:c r="L182" s="14">
        <x:f>+L160+L165+L170+L181</x:f>
        <x:v>1793910.5</x:v>
      </x:c>
      <x:c r="M182" s="15">
        <x:f>+M160+M165+M170+M181</x:f>
        <x:v>49678309.5</x:v>
      </x:c>
      <x:c r="N182" s="16"/>
      <x:c r="V182" s="1"/>
    </x:row>
    <x:row r="183" spans="1:22" s="2" customFormat="1" ht="20.100000000000001" customHeight="1">
      <x:c r="A183" s="23" t="s">
        <x:v>35</x:v>
      </x:c>
      <x:c r="B183" s="24"/>
      <x:c r="C183" s="24"/>
      <x:c r="D183" s="25">
        <x:f>+D143-D182</x:f>
        <x:v>-438460</x:v>
      </x:c>
      <x:c r="E183" s="25">
        <x:f>+E143-E182</x:f>
        <x:v>-43500</x:v>
      </x:c>
      <x:c r="F183" s="26">
        <x:f>+F143-F182</x:f>
        <x:v>-481960</x:v>
      </x:c>
      <x:c r="G183" s="27"/>
      <x:c r="H183" s="23"/>
      <x:c r="I183" s="24"/>
      <x:c r="J183" s="24"/>
      <x:c r="K183" s="25">
        <x:f>+K143-K182</x:f>
        <x:v>64115601</x:v>
      </x:c>
      <x:c r="L183" s="25">
        <x:f>+L143-L182</x:f>
        <x:v>6806089.5</x:v>
      </x:c>
      <x:c r="M183" s="26">
        <x:f>+M143-M182</x:f>
        <x:v>70921690.5</x:v>
      </x:c>
      <x:c r="N183" s="27"/>
      <x:c r="V183" s="1"/>
    </x:row>
    <x:row r="184" spans="1:22" s="2" customFormat="1" ht="20.100000000000001" customHeight="1">
      <x:c r="A184" s="302" t="s">
        <x:v>560</x:v>
      </x:c>
      <x:c r="B184" s="303"/>
      <x:c r="C184" s="303"/>
      <x:c r="D184" s="303"/>
      <x:c r="E184" s="303"/>
      <x:c r="F184" s="304"/>
      <x:c r="G184" s="305"/>
      <x:c r="H184" s="302"/>
      <x:c r="I184" s="303"/>
      <x:c r="J184" s="303"/>
      <x:c r="K184" s="303"/>
      <x:c r="L184" s="303"/>
      <x:c r="M184" s="304"/>
      <x:c r="N184" s="305"/>
      <x:c r="V184" s="1"/>
    </x:row>
    <x:row r="185" spans="1:22" s="2" customFormat="1" ht="20.100000000000001" customHeight="1">
      <x:c r="A185" s="29" t="s">
        <x:v>147</x:v>
      </x:c>
      <x:c r="B185" s="239" t="s">
        <x:v>144</x:v>
      </x:c>
      <x:c r="C185" s="239" t="s">
        <x:v>150</x:v>
      </x:c>
      <x:c r="D185" s="31" t="s">
        <x:v>145</x:v>
      </x:c>
      <x:c r="E185" s="31" t="s">
        <x:v>152</x:v>
      </x:c>
      <x:c r="F185" s="31" t="s">
        <x:v>146</x:v>
      </x:c>
      <x:c r="G185" s="34" t="s">
        <x:v>154</x:v>
      </x:c>
      <x:c r="H185" s="29" t="s">
        <x:v>147</x:v>
      </x:c>
      <x:c r="I185" s="239" t="s">
        <x:v>144</x:v>
      </x:c>
      <x:c r="J185" s="239" t="s">
        <x:v>150</x:v>
      </x:c>
      <x:c r="K185" s="31" t="s">
        <x:v>145</x:v>
      </x:c>
      <x:c r="L185" s="31" t="s">
        <x:v>152</x:v>
      </x:c>
      <x:c r="M185" s="31" t="s">
        <x:v>146</x:v>
      </x:c>
      <x:c r="N185" s="34" t="s">
        <x:v>154</x:v>
      </x:c>
      <x:c r="V185" s="1"/>
    </x:row>
    <x:row r="186" spans="1:22" s="2" customFormat="1" ht="20.100000000000001" customHeight="1">
      <x:c r="A186" s="41" t="s">
        <x:v>151</x:v>
      </x:c>
      <x:c r="B186" s="38" t="s">
        <x:v>1679</x:v>
      </x:c>
      <x:c r="C186" s="38" t="s">
        <x:v>156</x:v>
      </x:c>
      <x:c r="D186" s="39"/>
      <x:c r="E186" s="39"/>
      <x:c r="F186" s="40">
        <x:f>+D186+E186</x:f>
        <x:v>0</x:v>
      </x:c>
      <x:c r="G186" s="42"/>
      <x:c r="H186" s="41" t="s">
        <x:v>151</x:v>
      </x:c>
      <x:c r="I186" s="38" t="s">
        <x:v>1679</x:v>
      </x:c>
      <x:c r="J186" s="38" t="s">
        <x:v>156</x:v>
      </x:c>
      <x:c r="K186" s="39"/>
      <x:c r="L186" s="39"/>
      <x:c r="M186" s="40">
        <x:f>+K186+L186</x:f>
        <x:v>0</x:v>
      </x:c>
      <x:c r="N186" s="42"/>
      <x:c r="V186" s="1"/>
    </x:row>
    <x:row r="187" spans="1:22" s="2" customFormat="1" ht="20.100000000000001" customHeight="1">
      <x:c r="A187" s="298" t="s">
        <x:v>148</x:v>
      </x:c>
      <x:c r="B187" s="19"/>
      <x:c r="C187" s="19"/>
      <x:c r="D187" s="20"/>
      <x:c r="E187" s="20">
        <x:f>+D187*0.1</x:f>
        <x:v>0</x:v>
      </x:c>
      <x:c r="F187" s="21">
        <x:f t="shared" ref="F187:F202" si="26">+D187+E187</x:f>
        <x:v>0</x:v>
      </x:c>
      <x:c r="G187" s="22"/>
      <x:c r="H187" s="298" t="s">
        <x:v>148</x:v>
      </x:c>
      <x:c r="I187" s="19"/>
      <x:c r="J187" s="19"/>
      <x:c r="K187" s="20"/>
      <x:c r="L187" s="20">
        <x:f>+K187*0.1</x:f>
        <x:v>0</x:v>
      </x:c>
      <x:c r="M187" s="21">
        <x:f t="shared" ref="M187:M202" si="27">+K187+L187</x:f>
        <x:v>0</x:v>
      </x:c>
      <x:c r="N187" s="22"/>
      <x:c r="V187" s="1"/>
    </x:row>
    <x:row r="188" spans="1:22" s="2" customFormat="1" ht="20.100000000000001" customHeight="1">
      <x:c r="A188" s="299"/>
      <x:c r="B188" s="3"/>
      <x:c r="C188" s="3"/>
      <x:c r="D188" s="4"/>
      <x:c r="E188" s="4"/>
      <x:c r="F188" s="5">
        <x:f t="shared" si="26"/>
        <x:v>0</x:v>
      </x:c>
      <x:c r="G188" s="6"/>
      <x:c r="H188" s="299"/>
      <x:c r="I188" s="3"/>
      <x:c r="J188" s="3"/>
      <x:c r="K188" s="4"/>
      <x:c r="L188" s="4"/>
      <x:c r="M188" s="5">
        <x:f t="shared" si="27"/>
        <x:v>0</x:v>
      </x:c>
      <x:c r="N188" s="6"/>
      <x:c r="V188" s="1"/>
    </x:row>
    <x:row r="189" spans="1:22" s="2" customFormat="1" ht="20.100000000000001" customHeight="1">
      <x:c r="A189" s="299"/>
      <x:c r="B189" s="3"/>
      <x:c r="C189" s="3"/>
      <x:c r="D189" s="4"/>
      <x:c r="E189" s="4">
        <x:f>+D189*0.1</x:f>
        <x:v>0</x:v>
      </x:c>
      <x:c r="F189" s="5">
        <x:f t="shared" si="26"/>
        <x:v>0</x:v>
      </x:c>
      <x:c r="G189" s="6"/>
      <x:c r="H189" s="299"/>
      <x:c r="I189" s="3"/>
      <x:c r="J189" s="3"/>
      <x:c r="K189" s="4"/>
      <x:c r="L189" s="4">
        <x:f>+K189*0.1</x:f>
        <x:v>0</x:v>
      </x:c>
      <x:c r="M189" s="5">
        <x:f t="shared" si="27"/>
        <x:v>0</x:v>
      </x:c>
      <x:c r="N189" s="6"/>
      <x:c r="V189" s="1"/>
    </x:row>
    <x:row r="190" spans="1:22" s="2" customFormat="1" ht="20.100000000000001" customHeight="1">
      <x:c r="A190" s="299"/>
      <x:c r="B190" s="3"/>
      <x:c r="C190" s="3"/>
      <x:c r="D190" s="4"/>
      <x:c r="E190" s="4">
        <x:f>+D190*0.1</x:f>
        <x:v>0</x:v>
      </x:c>
      <x:c r="F190" s="5">
        <x:f t="shared" si="26"/>
        <x:v>0</x:v>
      </x:c>
      <x:c r="G190" s="6"/>
      <x:c r="H190" s="299"/>
      <x:c r="I190" s="3"/>
      <x:c r="J190" s="3"/>
      <x:c r="K190" s="4"/>
      <x:c r="L190" s="4">
        <x:f>+K190*0.1</x:f>
        <x:v>0</x:v>
      </x:c>
      <x:c r="M190" s="5">
        <x:f t="shared" si="27"/>
        <x:v>0</x:v>
      </x:c>
      <x:c r="N190" s="6"/>
      <x:c r="V190" s="1"/>
    </x:row>
    <x:row r="191" spans="1:22" s="2" customFormat="1" ht="20.100000000000001" customHeight="1">
      <x:c r="A191" s="299"/>
      <x:c r="B191" s="3"/>
      <x:c r="C191" s="3"/>
      <x:c r="D191" s="4"/>
      <x:c r="E191" s="4">
        <x:f>+D191*0.1</x:f>
        <x:v>0</x:v>
      </x:c>
      <x:c r="F191" s="5">
        <x:f t="shared" si="26"/>
        <x:v>0</x:v>
      </x:c>
      <x:c r="G191" s="6"/>
      <x:c r="H191" s="299"/>
      <x:c r="I191" s="3"/>
      <x:c r="J191" s="3"/>
      <x:c r="K191" s="4"/>
      <x:c r="L191" s="4">
        <x:f>+K191*0.1</x:f>
        <x:v>0</x:v>
      </x:c>
      <x:c r="M191" s="5">
        <x:f t="shared" si="27"/>
        <x:v>0</x:v>
      </x:c>
      <x:c r="N191" s="6"/>
      <x:c r="V191" s="1"/>
    </x:row>
    <x:row r="192" spans="1:22" s="2" customFormat="1" ht="20.100000000000001" customHeight="1">
      <x:c r="A192" s="299"/>
      <x:c r="B192" s="3"/>
      <x:c r="C192" s="3"/>
      <x:c r="D192" s="4"/>
      <x:c r="E192" s="4">
        <x:f t="shared" ref="E192:E202" si="28">+D192*0.1</x:f>
        <x:v>0</x:v>
      </x:c>
      <x:c r="F192" s="5">
        <x:f t="shared" si="26"/>
        <x:v>0</x:v>
      </x:c>
      <x:c r="G192" s="6"/>
      <x:c r="H192" s="299"/>
      <x:c r="I192" s="3"/>
      <x:c r="J192" s="3"/>
      <x:c r="K192" s="4"/>
      <x:c r="L192" s="4">
        <x:f t="shared" ref="L192:L202" si="29">+K192*0.1</x:f>
        <x:v>0</x:v>
      </x:c>
      <x:c r="M192" s="5">
        <x:f t="shared" si="27"/>
        <x:v>0</x:v>
      </x:c>
      <x:c r="N192" s="6"/>
      <x:c r="V192" s="1"/>
    </x:row>
    <x:row r="193" spans="1:22" s="2" customFormat="1" ht="20.100000000000001" customHeight="1">
      <x:c r="A193" s="299"/>
      <x:c r="B193" s="3"/>
      <x:c r="C193" s="3"/>
      <x:c r="D193" s="4"/>
      <x:c r="E193" s="4">
        <x:f t="shared" si="28"/>
        <x:v>0</x:v>
      </x:c>
      <x:c r="F193" s="5">
        <x:f t="shared" si="26"/>
        <x:v>0</x:v>
      </x:c>
      <x:c r="G193" s="6"/>
      <x:c r="H193" s="299"/>
      <x:c r="I193" s="3"/>
      <x:c r="J193" s="3"/>
      <x:c r="K193" s="4"/>
      <x:c r="L193" s="4">
        <x:f t="shared" si="29"/>
        <x:v>0</x:v>
      </x:c>
      <x:c r="M193" s="5">
        <x:f t="shared" si="27"/>
        <x:v>0</x:v>
      </x:c>
      <x:c r="N193" s="6"/>
      <x:c r="V193" s="1"/>
    </x:row>
    <x:row r="194" spans="1:22" s="2" customFormat="1" ht="20.100000000000001" customHeight="1">
      <x:c r="A194" s="299"/>
      <x:c r="B194" s="3"/>
      <x:c r="C194" s="3"/>
      <x:c r="D194" s="4"/>
      <x:c r="E194" s="4">
        <x:f t="shared" si="28"/>
        <x:v>0</x:v>
      </x:c>
      <x:c r="F194" s="5">
        <x:f t="shared" si="26"/>
        <x:v>0</x:v>
      </x:c>
      <x:c r="G194" s="6"/>
      <x:c r="H194" s="299"/>
      <x:c r="I194" s="3"/>
      <x:c r="J194" s="3"/>
      <x:c r="K194" s="4"/>
      <x:c r="L194" s="4">
        <x:f t="shared" si="29"/>
        <x:v>0</x:v>
      </x:c>
      <x:c r="M194" s="5">
        <x:f t="shared" si="27"/>
        <x:v>0</x:v>
      </x:c>
      <x:c r="N194" s="6"/>
      <x:c r="V194" s="1"/>
    </x:row>
    <x:row r="195" spans="1:22" s="2" customFormat="1" ht="20.100000000000001" customHeight="1">
      <x:c r="A195" s="299"/>
      <x:c r="B195" s="3"/>
      <x:c r="C195" s="3"/>
      <x:c r="D195" s="4"/>
      <x:c r="E195" s="4">
        <x:f t="shared" si="28"/>
        <x:v>0</x:v>
      </x:c>
      <x:c r="F195" s="5">
        <x:f t="shared" si="26"/>
        <x:v>0</x:v>
      </x:c>
      <x:c r="G195" s="6"/>
      <x:c r="H195" s="299"/>
      <x:c r="I195" s="3"/>
      <x:c r="J195" s="3"/>
      <x:c r="K195" s="4"/>
      <x:c r="L195" s="4">
        <x:f t="shared" si="29"/>
        <x:v>0</x:v>
      </x:c>
      <x:c r="M195" s="5">
        <x:f t="shared" si="27"/>
        <x:v>0</x:v>
      </x:c>
      <x:c r="N195" s="6"/>
      <x:c r="V195" s="1"/>
    </x:row>
    <x:row r="196" spans="1:22" s="2" customFormat="1" ht="20.100000000000001" customHeight="1">
      <x:c r="A196" s="299"/>
      <x:c r="B196" s="3"/>
      <x:c r="C196" s="3"/>
      <x:c r="D196" s="4"/>
      <x:c r="E196" s="4">
        <x:f t="shared" si="28"/>
        <x:v>0</x:v>
      </x:c>
      <x:c r="F196" s="5">
        <x:f t="shared" si="26"/>
        <x:v>0</x:v>
      </x:c>
      <x:c r="G196" s="6"/>
      <x:c r="H196" s="299"/>
      <x:c r="I196" s="3"/>
      <x:c r="J196" s="3"/>
      <x:c r="K196" s="4"/>
      <x:c r="L196" s="4">
        <x:f t="shared" si="29"/>
        <x:v>0</x:v>
      </x:c>
      <x:c r="M196" s="5">
        <x:f t="shared" si="27"/>
        <x:v>0</x:v>
      </x:c>
      <x:c r="N196" s="6"/>
      <x:c r="V196" s="1"/>
    </x:row>
    <x:row r="197" spans="1:22" s="2" customFormat="1" ht="20.100000000000001" customHeight="1">
      <x:c r="A197" s="299"/>
      <x:c r="B197" s="3"/>
      <x:c r="C197" s="3"/>
      <x:c r="D197" s="4"/>
      <x:c r="E197" s="4">
        <x:f t="shared" si="28"/>
        <x:v>0</x:v>
      </x:c>
      <x:c r="F197" s="5">
        <x:f t="shared" si="26"/>
        <x:v>0</x:v>
      </x:c>
      <x:c r="G197" s="6"/>
      <x:c r="H197" s="299"/>
      <x:c r="I197" s="3"/>
      <x:c r="J197" s="3"/>
      <x:c r="K197" s="4"/>
      <x:c r="L197" s="4">
        <x:f t="shared" si="29"/>
        <x:v>0</x:v>
      </x:c>
      <x:c r="M197" s="5">
        <x:f t="shared" si="27"/>
        <x:v>0</x:v>
      </x:c>
      <x:c r="N197" s="6"/>
      <x:c r="V197" s="1"/>
    </x:row>
    <x:row r="198" spans="1:22" s="2" customFormat="1" ht="20.100000000000001" customHeight="1">
      <x:c r="A198" s="299"/>
      <x:c r="B198" s="3"/>
      <x:c r="C198" s="3"/>
      <x:c r="D198" s="4"/>
      <x:c r="E198" s="4">
        <x:f t="shared" si="28"/>
        <x:v>0</x:v>
      </x:c>
      <x:c r="F198" s="5">
        <x:f t="shared" si="26"/>
        <x:v>0</x:v>
      </x:c>
      <x:c r="G198" s="6"/>
      <x:c r="H198" s="299"/>
      <x:c r="I198" s="3"/>
      <x:c r="J198" s="3"/>
      <x:c r="K198" s="4"/>
      <x:c r="L198" s="4">
        <x:f t="shared" si="29"/>
        <x:v>0</x:v>
      </x:c>
      <x:c r="M198" s="5">
        <x:f t="shared" si="27"/>
        <x:v>0</x:v>
      </x:c>
      <x:c r="N198" s="6"/>
      <x:c r="V198" s="1"/>
    </x:row>
    <x:row r="199" spans="1:22" s="2" customFormat="1" ht="20.100000000000001" customHeight="1">
      <x:c r="A199" s="299"/>
      <x:c r="B199" s="3"/>
      <x:c r="C199" s="3"/>
      <x:c r="D199" s="4"/>
      <x:c r="E199" s="4">
        <x:f t="shared" si="28"/>
        <x:v>0</x:v>
      </x:c>
      <x:c r="F199" s="5">
        <x:f t="shared" si="26"/>
        <x:v>0</x:v>
      </x:c>
      <x:c r="G199" s="6"/>
      <x:c r="H199" s="299"/>
      <x:c r="I199" s="3"/>
      <x:c r="J199" s="3"/>
      <x:c r="K199" s="4"/>
      <x:c r="L199" s="4">
        <x:f t="shared" si="29"/>
        <x:v>0</x:v>
      </x:c>
      <x:c r="M199" s="5">
        <x:f t="shared" si="27"/>
        <x:v>0</x:v>
      </x:c>
      <x:c r="N199" s="6"/>
      <x:c r="V199" s="1"/>
    </x:row>
    <x:row r="200" spans="1:22" s="2" customFormat="1" ht="20.100000000000001" customHeight="1">
      <x:c r="A200" s="299"/>
      <x:c r="B200" s="3"/>
      <x:c r="C200" s="3"/>
      <x:c r="D200" s="4"/>
      <x:c r="E200" s="4">
        <x:f t="shared" si="28"/>
        <x:v>0</x:v>
      </x:c>
      <x:c r="F200" s="5">
        <x:f t="shared" si="26"/>
        <x:v>0</x:v>
      </x:c>
      <x:c r="G200" s="6"/>
      <x:c r="H200" s="299"/>
      <x:c r="I200" s="3"/>
      <x:c r="J200" s="3"/>
      <x:c r="K200" s="4"/>
      <x:c r="L200" s="4">
        <x:f t="shared" si="29"/>
        <x:v>0</x:v>
      </x:c>
      <x:c r="M200" s="5">
        <x:f t="shared" si="27"/>
        <x:v>0</x:v>
      </x:c>
      <x:c r="N200" s="6"/>
      <x:c r="V200" s="1"/>
    </x:row>
    <x:row r="201" spans="1:22" s="2" customFormat="1" ht="20.100000000000001" customHeight="1">
      <x:c r="A201" s="299"/>
      <x:c r="B201" s="3"/>
      <x:c r="C201" s="3"/>
      <x:c r="D201" s="4"/>
      <x:c r="E201" s="4">
        <x:f t="shared" si="28"/>
        <x:v>0</x:v>
      </x:c>
      <x:c r="F201" s="5">
        <x:f t="shared" si="26"/>
        <x:v>0</x:v>
      </x:c>
      <x:c r="G201" s="6"/>
      <x:c r="H201" s="299"/>
      <x:c r="I201" s="3"/>
      <x:c r="J201" s="3"/>
      <x:c r="K201" s="4"/>
      <x:c r="L201" s="4">
        <x:f t="shared" si="29"/>
        <x:v>0</x:v>
      </x:c>
      <x:c r="M201" s="5">
        <x:f t="shared" si="27"/>
        <x:v>0</x:v>
      </x:c>
      <x:c r="N201" s="6"/>
      <x:c r="V201" s="1"/>
    </x:row>
    <x:row r="202" spans="1:22" s="2" customFormat="1" ht="20.100000000000001" customHeight="1">
      <x:c r="A202" s="300"/>
      <x:c r="B202" s="3"/>
      <x:c r="C202" s="3"/>
      <x:c r="D202" s="4"/>
      <x:c r="E202" s="4">
        <x:f t="shared" si="28"/>
        <x:v>0</x:v>
      </x:c>
      <x:c r="F202" s="5">
        <x:f t="shared" si="26"/>
        <x:v>0</x:v>
      </x:c>
      <x:c r="G202" s="6"/>
      <x:c r="H202" s="300"/>
      <x:c r="I202" s="3"/>
      <x:c r="J202" s="3"/>
      <x:c r="K202" s="4"/>
      <x:c r="L202" s="4">
        <x:f t="shared" si="29"/>
        <x:v>0</x:v>
      </x:c>
      <x:c r="M202" s="5">
        <x:f t="shared" si="27"/>
        <x:v>0</x:v>
      </x:c>
      <x:c r="N202" s="6"/>
      <x:c r="V202" s="1"/>
    </x:row>
    <x:row r="203" spans="1:22" s="2" customFormat="1" ht="20.100000000000001" customHeight="1">
      <x:c r="A203" s="7"/>
      <x:c r="B203" s="8"/>
      <x:c r="C203" s="8"/>
      <x:c r="D203" s="9">
        <x:f>SUM(D187:D202)</x:f>
        <x:v>0</x:v>
      </x:c>
      <x:c r="E203" s="9">
        <x:f>SUM(E187:E202)</x:f>
        <x:v>0</x:v>
      </x:c>
      <x:c r="F203" s="10">
        <x:f>SUM(F187:F202)</x:f>
        <x:v>0</x:v>
      </x:c>
      <x:c r="G203" s="11"/>
      <x:c r="H203" s="7"/>
      <x:c r="I203" s="8"/>
      <x:c r="J203" s="8"/>
      <x:c r="K203" s="9">
        <x:f>SUM(K187:K202)</x:f>
        <x:v>0</x:v>
      </x:c>
      <x:c r="L203" s="9">
        <x:f>SUM(L187:L202)</x:f>
        <x:v>0</x:v>
      </x:c>
      <x:c r="M203" s="10">
        <x:f>SUM(M187:M202)</x:f>
        <x:v>0</x:v>
      </x:c>
      <x:c r="N203" s="11"/>
      <x:c r="V203" s="1"/>
    </x:row>
    <x:row r="204" spans="1:22" s="2" customFormat="1" ht="20.100000000000001" customHeight="1">
      <x:c r="A204" s="301" t="s">
        <x:v>153</x:v>
      </x:c>
      <x:c r="B204" s="3" t="s">
        <x:v>1677</x:v>
      </x:c>
      <x:c r="C204" s="3"/>
      <x:c r="D204" s="4"/>
      <x:c r="E204" s="4"/>
      <x:c r="F204" s="5">
        <x:f>+D204+E204</x:f>
        <x:v>0</x:v>
      </x:c>
      <x:c r="G204" s="6"/>
      <x:c r="H204" s="301" t="s">
        <x:v>153</x:v>
      </x:c>
      <x:c r="I204" s="3"/>
      <x:c r="J204" s="3"/>
      <x:c r="K204" s="4"/>
      <x:c r="L204" s="4"/>
      <x:c r="M204" s="5">
        <x:f>+K204+L204</x:f>
        <x:v>0</x:v>
      </x:c>
      <x:c r="N204" s="6"/>
      <x:c r="V204" s="1"/>
    </x:row>
    <x:row r="205" spans="1:22" s="2" customFormat="1" ht="20.100000000000001" customHeight="1">
      <x:c r="A205" s="299"/>
      <x:c r="B205" s="3"/>
      <x:c r="C205" s="3"/>
      <x:c r="D205" s="4"/>
      <x:c r="E205" s="4">
        <x:f>+D205*0.1</x:f>
        <x:v>0</x:v>
      </x:c>
      <x:c r="F205" s="5">
        <x:f>+D205+E205</x:f>
        <x:v>0</x:v>
      </x:c>
      <x:c r="G205" s="6"/>
      <x:c r="H205" s="299"/>
      <x:c r="I205" s="3"/>
      <x:c r="J205" s="3"/>
      <x:c r="K205" s="4"/>
      <x:c r="L205" s="4">
        <x:f>+K205*0.1</x:f>
        <x:v>0</x:v>
      </x:c>
      <x:c r="M205" s="5">
        <x:f>+K205+L205</x:f>
        <x:v>0</x:v>
      </x:c>
      <x:c r="N205" s="6"/>
      <x:c r="V205" s="1"/>
    </x:row>
    <x:row r="206" spans="1:22" s="2" customFormat="1" ht="20.100000000000001" customHeight="1">
      <x:c r="A206" s="299"/>
      <x:c r="B206" s="3"/>
      <x:c r="C206" s="3"/>
      <x:c r="D206" s="4"/>
      <x:c r="E206" s="4">
        <x:f>+D206*0.1</x:f>
        <x:v>0</x:v>
      </x:c>
      <x:c r="F206" s="5">
        <x:f>+D206+E206</x:f>
        <x:v>0</x:v>
      </x:c>
      <x:c r="G206" s="6"/>
      <x:c r="H206" s="299"/>
      <x:c r="I206" s="3"/>
      <x:c r="J206" s="3"/>
      <x:c r="K206" s="4"/>
      <x:c r="L206" s="4">
        <x:f>+K206*0.1</x:f>
        <x:v>0</x:v>
      </x:c>
      <x:c r="M206" s="5">
        <x:f>+K206+L206</x:f>
        <x:v>0</x:v>
      </x:c>
      <x:c r="N206" s="6"/>
      <x:c r="V206" s="1"/>
    </x:row>
    <x:row r="207" spans="1:22" s="2" customFormat="1" ht="20.100000000000001" customHeight="1">
      <x:c r="A207" s="300"/>
      <x:c r="B207" s="3"/>
      <x:c r="C207" s="3"/>
      <x:c r="D207" s="4"/>
      <x:c r="E207" s="4">
        <x:f>+D207*0.1</x:f>
        <x:v>0</x:v>
      </x:c>
      <x:c r="F207" s="5">
        <x:f>+D207+E207</x:f>
        <x:v>0</x:v>
      </x:c>
      <x:c r="G207" s="6"/>
      <x:c r="H207" s="300"/>
      <x:c r="I207" s="3"/>
      <x:c r="J207" s="3"/>
      <x:c r="K207" s="4"/>
      <x:c r="L207" s="4">
        <x:f>+K207*0.1</x:f>
        <x:v>0</x:v>
      </x:c>
      <x:c r="M207" s="5">
        <x:f>+K207+L207</x:f>
        <x:v>0</x:v>
      </x:c>
      <x:c r="N207" s="6"/>
      <x:c r="V207" s="1"/>
    </x:row>
    <x:row r="208" spans="1:22" s="2" customFormat="1" ht="20.100000000000001" customHeight="1">
      <x:c r="A208" s="7"/>
      <x:c r="B208" s="8"/>
      <x:c r="C208" s="8"/>
      <x:c r="D208" s="9">
        <x:f>SUM(D204:D207)</x:f>
        <x:v>0</x:v>
      </x:c>
      <x:c r="E208" s="9">
        <x:f>SUM(E204:E207)</x:f>
        <x:v>0</x:v>
      </x:c>
      <x:c r="F208" s="10">
        <x:f>SUM(F204:F207)</x:f>
        <x:v>0</x:v>
      </x:c>
      <x:c r="G208" s="11"/>
      <x:c r="H208" s="7"/>
      <x:c r="I208" s="8"/>
      <x:c r="J208" s="8"/>
      <x:c r="K208" s="9">
        <x:f>SUM(K204:K207)</x:f>
        <x:v>0</x:v>
      </x:c>
      <x:c r="L208" s="9">
        <x:f>SUM(L204:L207)</x:f>
        <x:v>0</x:v>
      </x:c>
      <x:c r="M208" s="10">
        <x:f>SUM(M204:M207)</x:f>
        <x:v>0</x:v>
      </x:c>
      <x:c r="N208" s="11"/>
      <x:c r="V208" s="1"/>
    </x:row>
    <x:row r="209" spans="1:22" s="2" customFormat="1" ht="20.100000000000001" customHeight="1">
      <x:c r="A209" s="301" t="s">
        <x:v>187</x:v>
      </x:c>
      <x:c r="B209" s="3"/>
      <x:c r="C209" s="3"/>
      <x:c r="D209" s="4"/>
      <x:c r="E209" s="4">
        <x:f>+D209*0.1</x:f>
        <x:v>0</x:v>
      </x:c>
      <x:c r="F209" s="5">
        <x:f>+D209+E209</x:f>
        <x:v>0</x:v>
      </x:c>
      <x:c r="G209" s="6"/>
      <x:c r="H209" s="301" t="s">
        <x:v>187</x:v>
      </x:c>
      <x:c r="I209" s="3"/>
      <x:c r="J209" s="3"/>
      <x:c r="K209" s="4"/>
      <x:c r="L209" s="4">
        <x:f>+K209*0.1</x:f>
        <x:v>0</x:v>
      </x:c>
      <x:c r="M209" s="5">
        <x:f>+K209+L209</x:f>
        <x:v>0</x:v>
      </x:c>
      <x:c r="N209" s="6"/>
      <x:c r="V209" s="1"/>
    </x:row>
    <x:row r="210" spans="1:22" s="2" customFormat="1" ht="20.100000000000001" customHeight="1">
      <x:c r="A210" s="299"/>
      <x:c r="B210" s="3"/>
      <x:c r="C210" s="3"/>
      <x:c r="D210" s="4"/>
      <x:c r="E210" s="4">
        <x:f>+D210*0.1</x:f>
        <x:v>0</x:v>
      </x:c>
      <x:c r="F210" s="5">
        <x:f>+D210+E210</x:f>
        <x:v>0</x:v>
      </x:c>
      <x:c r="G210" s="6"/>
      <x:c r="H210" s="299"/>
      <x:c r="I210" s="3"/>
      <x:c r="J210" s="3"/>
      <x:c r="K210" s="4"/>
      <x:c r="L210" s="4">
        <x:f>+K210*0.1</x:f>
        <x:v>0</x:v>
      </x:c>
      <x:c r="M210" s="5">
        <x:f>+K210+L210</x:f>
        <x:v>0</x:v>
      </x:c>
      <x:c r="N210" s="6"/>
      <x:c r="V210" s="1"/>
    </x:row>
    <x:row r="211" spans="1:22" s="2" customFormat="1" ht="20.100000000000001" customHeight="1">
      <x:c r="A211" s="299"/>
      <x:c r="B211" s="3"/>
      <x:c r="C211" s="3"/>
      <x:c r="D211" s="4"/>
      <x:c r="E211" s="4">
        <x:f>+D211*0.1</x:f>
        <x:v>0</x:v>
      </x:c>
      <x:c r="F211" s="5">
        <x:f>+D211+E211</x:f>
        <x:v>0</x:v>
      </x:c>
      <x:c r="G211" s="6"/>
      <x:c r="H211" s="299"/>
      <x:c r="I211" s="3"/>
      <x:c r="J211" s="3"/>
      <x:c r="K211" s="4"/>
      <x:c r="L211" s="4">
        <x:f>+K211*0.1</x:f>
        <x:v>0</x:v>
      </x:c>
      <x:c r="M211" s="5">
        <x:f>+K211+L211</x:f>
        <x:v>0</x:v>
      </x:c>
      <x:c r="N211" s="6"/>
      <x:c r="V211" s="1"/>
    </x:row>
    <x:row r="212" spans="1:22" s="2" customFormat="1" ht="20.100000000000001" customHeight="1">
      <x:c r="A212" s="300"/>
      <x:c r="B212" s="3"/>
      <x:c r="C212" s="3"/>
      <x:c r="D212" s="4"/>
      <x:c r="E212" s="4">
        <x:f>+D212*0.1</x:f>
        <x:v>0</x:v>
      </x:c>
      <x:c r="F212" s="5">
        <x:f>+D212+E212</x:f>
        <x:v>0</x:v>
      </x:c>
      <x:c r="G212" s="6"/>
      <x:c r="H212" s="300"/>
      <x:c r="I212" s="3"/>
      <x:c r="J212" s="3"/>
      <x:c r="K212" s="4"/>
      <x:c r="L212" s="4">
        <x:f>+K212*0.1</x:f>
        <x:v>0</x:v>
      </x:c>
      <x:c r="M212" s="5">
        <x:f>+K212+L212</x:f>
        <x:v>0</x:v>
      </x:c>
      <x:c r="N212" s="6"/>
      <x:c r="V212" s="1"/>
    </x:row>
    <x:row r="213" spans="1:22" s="2" customFormat="1" ht="20.100000000000001" customHeight="1">
      <x:c r="A213" s="7"/>
      <x:c r="B213" s="8"/>
      <x:c r="C213" s="8"/>
      <x:c r="D213" s="9">
        <x:f>SUM(D209:D212)</x:f>
        <x:v>0</x:v>
      </x:c>
      <x:c r="E213" s="9">
        <x:f>SUM(E209:E212)</x:f>
        <x:v>0</x:v>
      </x:c>
      <x:c r="F213" s="10">
        <x:f>SUM(F209:F212)</x:f>
        <x:v>0</x:v>
      </x:c>
      <x:c r="G213" s="11"/>
      <x:c r="H213" s="7"/>
      <x:c r="I213" s="8"/>
      <x:c r="J213" s="8"/>
      <x:c r="K213" s="9">
        <x:f>SUM(K209:K212)</x:f>
        <x:v>0</x:v>
      </x:c>
      <x:c r="L213" s="9">
        <x:f>SUM(L209:L212)</x:f>
        <x:v>0</x:v>
      </x:c>
      <x:c r="M213" s="10">
        <x:f>SUM(M209:M212)</x:f>
        <x:v>0</x:v>
      </x:c>
      <x:c r="N213" s="11"/>
      <x:c r="V213" s="1"/>
    </x:row>
    <x:row r="214" spans="1:22" s="2" customFormat="1" ht="20.100000000000001" customHeight="1">
      <x:c r="A214" s="301" t="s">
        <x:v>149</x:v>
      </x:c>
      <x:c r="B214" s="3"/>
      <x:c r="C214" s="3" t="s">
        <x:v>149</x:v>
      </x:c>
      <x:c r="D214" s="4"/>
      <x:c r="E214" s="4"/>
      <x:c r="F214" s="5">
        <x:f t="shared" ref="F214:F221" si="30">+D214+E214</x:f>
        <x:v>0</x:v>
      </x:c>
      <x:c r="G214" s="6"/>
      <x:c r="H214" s="301" t="s">
        <x:v>149</x:v>
      </x:c>
      <x:c r="I214" s="3"/>
      <x:c r="J214" s="3"/>
      <x:c r="K214" s="4"/>
      <x:c r="L214" s="4"/>
      <x:c r="M214" s="5">
        <x:f t="shared" ref="M214:M221" si="31">+K214+L214</x:f>
        <x:v>0</x:v>
      </x:c>
      <x:c r="N214" s="6"/>
      <x:c r="V214" s="1"/>
    </x:row>
    <x:row r="215" spans="1:22" s="2" customFormat="1" ht="20.100000000000001" customHeight="1">
      <x:c r="A215" s="299"/>
      <x:c r="B215" s="3" t="s">
        <x:v>1341</x:v>
      </x:c>
      <x:c r="C215" s="3" t="s">
        <x:v>1496</x:v>
      </x:c>
      <x:c r="D215" s="4"/>
      <x:c r="E215" s="4">
        <x:f>+D215*0.1</x:f>
        <x:v>0</x:v>
      </x:c>
      <x:c r="F215" s="5">
        <x:f t="shared" si="30"/>
        <x:v>0</x:v>
      </x:c>
      <x:c r="G215" s="6"/>
      <x:c r="H215" s="299"/>
      <x:c r="I215" s="3"/>
      <x:c r="J215" s="3"/>
      <x:c r="K215" s="4"/>
      <x:c r="L215" s="4">
        <x:f>+K215*0.1</x:f>
        <x:v>0</x:v>
      </x:c>
      <x:c r="M215" s="5">
        <x:f t="shared" si="31"/>
        <x:v>0</x:v>
      </x:c>
      <x:c r="N215" s="6"/>
      <x:c r="V215" s="1"/>
    </x:row>
    <x:row r="216" spans="1:22" s="2" customFormat="1" ht="20.100000000000001" customHeight="1">
      <x:c r="A216" s="299"/>
      <x:c r="B216" s="3"/>
      <x:c r="C216" s="3"/>
      <x:c r="D216" s="4"/>
      <x:c r="E216" s="4"/>
      <x:c r="F216" s="5">
        <x:f t="shared" si="30"/>
        <x:v>0</x:v>
      </x:c>
      <x:c r="G216" s="6"/>
      <x:c r="H216" s="299"/>
      <x:c r="I216" s="3"/>
      <x:c r="J216" s="3"/>
      <x:c r="K216" s="4"/>
      <x:c r="L216" s="4"/>
      <x:c r="M216" s="5">
        <x:f t="shared" si="31"/>
        <x:v>0</x:v>
      </x:c>
      <x:c r="N216" s="6"/>
      <x:c r="V216" s="1"/>
    </x:row>
    <x:row r="217" spans="1:22" s="2" customFormat="1" ht="20.100000000000001" customHeight="1">
      <x:c r="A217" s="299"/>
      <x:c r="B217" s="3"/>
      <x:c r="C217" s="3"/>
      <x:c r="D217" s="4"/>
      <x:c r="E217" s="4">
        <x:f>+D217*0.1</x:f>
        <x:v>0</x:v>
      </x:c>
      <x:c r="F217" s="5">
        <x:f t="shared" si="30"/>
        <x:v>0</x:v>
      </x:c>
      <x:c r="G217" s="6"/>
      <x:c r="H217" s="299"/>
      <x:c r="I217" s="3"/>
      <x:c r="J217" s="3"/>
      <x:c r="K217" s="4"/>
      <x:c r="L217" s="4">
        <x:f>+K217*0.1</x:f>
        <x:v>0</x:v>
      </x:c>
      <x:c r="M217" s="5">
        <x:f t="shared" si="31"/>
        <x:v>0</x:v>
      </x:c>
      <x:c r="N217" s="6"/>
      <x:c r="V217" s="1"/>
    </x:row>
    <x:row r="218" spans="1:22" s="2" customFormat="1" ht="20.100000000000001" customHeight="1">
      <x:c r="A218" s="299"/>
      <x:c r="B218" s="3"/>
      <x:c r="C218" s="3"/>
      <x:c r="D218" s="4"/>
      <x:c r="E218" s="4">
        <x:f>+D218*0.1</x:f>
        <x:v>0</x:v>
      </x:c>
      <x:c r="F218" s="5">
        <x:f t="shared" si="30"/>
        <x:v>0</x:v>
      </x:c>
      <x:c r="G218" s="6"/>
      <x:c r="H218" s="299"/>
      <x:c r="I218" s="3"/>
      <x:c r="J218" s="3"/>
      <x:c r="K218" s="4"/>
      <x:c r="L218" s="4">
        <x:f>+K218*0.1</x:f>
        <x:v>0</x:v>
      </x:c>
      <x:c r="M218" s="5">
        <x:f t="shared" si="31"/>
        <x:v>0</x:v>
      </x:c>
      <x:c r="N218" s="6"/>
      <x:c r="V218" s="1"/>
    </x:row>
    <x:row r="219" spans="1:22" s="2" customFormat="1" ht="20.100000000000001" customHeight="1">
      <x:c r="A219" s="299"/>
      <x:c r="B219" s="3"/>
      <x:c r="C219" s="3"/>
      <x:c r="D219" s="4"/>
      <x:c r="E219" s="4">
        <x:f>+D219*0.1</x:f>
        <x:v>0</x:v>
      </x:c>
      <x:c r="F219" s="5">
        <x:f t="shared" si="30"/>
        <x:v>0</x:v>
      </x:c>
      <x:c r="G219" s="6"/>
      <x:c r="H219" s="299"/>
      <x:c r="I219" s="3"/>
      <x:c r="J219" s="3"/>
      <x:c r="K219" s="4"/>
      <x:c r="L219" s="4">
        <x:f>+K219*0.1</x:f>
        <x:v>0</x:v>
      </x:c>
      <x:c r="M219" s="5">
        <x:f t="shared" si="31"/>
        <x:v>0</x:v>
      </x:c>
      <x:c r="N219" s="6"/>
      <x:c r="V219" s="1"/>
    </x:row>
    <x:row r="220" spans="1:22" s="2" customFormat="1" ht="20.100000000000001" customHeight="1">
      <x:c r="A220" s="299"/>
      <x:c r="B220" s="3"/>
      <x:c r="C220" s="3"/>
      <x:c r="D220" s="4"/>
      <x:c r="E220" s="4">
        <x:f t="shared" ref="E220:E223" si="32">+D220*0.1</x:f>
        <x:v>0</x:v>
      </x:c>
      <x:c r="F220" s="5">
        <x:f t="shared" si="30"/>
        <x:v>0</x:v>
      </x:c>
      <x:c r="G220" s="6"/>
      <x:c r="H220" s="299"/>
      <x:c r="I220" s="3"/>
      <x:c r="J220" s="3"/>
      <x:c r="K220" s="4"/>
      <x:c r="L220" s="4">
        <x:f t="shared" ref="L220:L223" si="33">+K220*0.1</x:f>
        <x:v>0</x:v>
      </x:c>
      <x:c r="M220" s="5">
        <x:f t="shared" si="31"/>
        <x:v>0</x:v>
      </x:c>
      <x:c r="N220" s="6"/>
      <x:c r="V220" s="1"/>
    </x:row>
    <x:row r="221" spans="1:22" s="2" customFormat="1" ht="20.100000000000001" customHeight="1">
      <x:c r="A221" s="299"/>
      <x:c r="B221" s="3"/>
      <x:c r="C221" s="3"/>
      <x:c r="D221" s="4"/>
      <x:c r="E221" s="4">
        <x:f t="shared" si="32"/>
        <x:v>0</x:v>
      </x:c>
      <x:c r="F221" s="5">
        <x:f t="shared" si="30"/>
        <x:v>0</x:v>
      </x:c>
      <x:c r="G221" s="6"/>
      <x:c r="H221" s="299"/>
      <x:c r="I221" s="3"/>
      <x:c r="J221" s="3"/>
      <x:c r="K221" s="4"/>
      <x:c r="L221" s="4">
        <x:f t="shared" si="33"/>
        <x:v>0</x:v>
      </x:c>
      <x:c r="M221" s="5">
        <x:f t="shared" si="31"/>
        <x:v>0</x:v>
      </x:c>
      <x:c r="N221" s="6"/>
      <x:c r="V221" s="1"/>
    </x:row>
    <x:row r="222" spans="1:22" s="2" customFormat="1" ht="20.100000000000001" customHeight="1">
      <x:c r="A222" s="299"/>
      <x:c r="B222" s="3"/>
      <x:c r="C222" s="3"/>
      <x:c r="D222" s="4"/>
      <x:c r="E222" s="4">
        <x:f t="shared" si="32"/>
        <x:v>0</x:v>
      </x:c>
      <x:c r="F222" s="5"/>
      <x:c r="G222" s="6"/>
      <x:c r="H222" s="299"/>
      <x:c r="I222" s="3"/>
      <x:c r="J222" s="3"/>
      <x:c r="K222" s="4"/>
      <x:c r="L222" s="4">
        <x:f t="shared" si="33"/>
        <x:v>0</x:v>
      </x:c>
      <x:c r="M222" s="5"/>
      <x:c r="N222" s="6"/>
      <x:c r="V222" s="1"/>
    </x:row>
    <x:row r="223" spans="1:22" s="2" customFormat="1" ht="20.100000000000001" customHeight="1">
      <x:c r="A223" s="300"/>
      <x:c r="B223" s="3"/>
      <x:c r="C223" s="3"/>
      <x:c r="D223" s="4"/>
      <x:c r="E223" s="4">
        <x:f t="shared" si="32"/>
        <x:v>0</x:v>
      </x:c>
      <x:c r="F223" s="5">
        <x:f>+D223+E223</x:f>
        <x:v>0</x:v>
      </x:c>
      <x:c r="G223" s="6"/>
      <x:c r="H223" s="300"/>
      <x:c r="I223" s="3"/>
      <x:c r="J223" s="3"/>
      <x:c r="K223" s="4"/>
      <x:c r="L223" s="4">
        <x:f t="shared" si="33"/>
        <x:v>0</x:v>
      </x:c>
      <x:c r="M223" s="5">
        <x:f>+K223+L223</x:f>
        <x:v>0</x:v>
      </x:c>
      <x:c r="N223" s="6"/>
      <x:c r="V223" s="1"/>
    </x:row>
    <x:row r="224" spans="1:22" s="2" customFormat="1" ht="20.100000000000001" customHeight="1">
      <x:c r="A224" s="7"/>
      <x:c r="B224" s="8"/>
      <x:c r="C224" s="8"/>
      <x:c r="D224" s="9">
        <x:f>SUM(D214:D223)</x:f>
        <x:v>0</x:v>
      </x:c>
      <x:c r="E224" s="9">
        <x:f>SUM(E214:E223)</x:f>
        <x:v>0</x:v>
      </x:c>
      <x:c r="F224" s="10">
        <x:f>SUM(F214:F223)</x:f>
        <x:v>0</x:v>
      </x:c>
      <x:c r="G224" s="11"/>
      <x:c r="H224" s="7"/>
      <x:c r="I224" s="8"/>
      <x:c r="J224" s="8"/>
      <x:c r="K224" s="9">
        <x:f>SUM(K214:K223)</x:f>
        <x:v>0</x:v>
      </x:c>
      <x:c r="L224" s="9">
        <x:f>SUM(L214:L223)</x:f>
        <x:v>0</x:v>
      </x:c>
      <x:c r="M224" s="10">
        <x:f>SUM(M214:M223)</x:f>
        <x:v>0</x:v>
      </x:c>
      <x:c r="N224" s="11"/>
      <x:c r="V224" s="1"/>
    </x:row>
    <x:row r="225" spans="1:22" s="2" customFormat="1" ht="20.100000000000001" customHeight="1">
      <x:c r="A225" s="12"/>
      <x:c r="B225" s="13"/>
      <x:c r="C225" s="13"/>
      <x:c r="D225" s="14">
        <x:f>+D203+D208+D213+D224</x:f>
        <x:v>0</x:v>
      </x:c>
      <x:c r="E225" s="14">
        <x:f>+E203+E208+E213+E224</x:f>
        <x:v>0</x:v>
      </x:c>
      <x:c r="F225" s="15">
        <x:f>+F203+F208+F213+F224</x:f>
        <x:v>0</x:v>
      </x:c>
      <x:c r="G225" s="16"/>
      <x:c r="H225" s="12"/>
      <x:c r="I225" s="13"/>
      <x:c r="J225" s="13"/>
      <x:c r="K225" s="14">
        <x:f>+K203+K208+K213+K224</x:f>
        <x:v>0</x:v>
      </x:c>
      <x:c r="L225" s="14">
        <x:f>+L203+L208+L213+L224</x:f>
        <x:v>0</x:v>
      </x:c>
      <x:c r="M225" s="15">
        <x:f>+M203+M208+M213+M224</x:f>
        <x:v>0</x:v>
      </x:c>
      <x:c r="N225" s="16"/>
      <x:c r="V225" s="1"/>
    </x:row>
    <x:row r="226" spans="1:22" s="2" customFormat="1" ht="20.100000000000001" customHeight="1">
      <x:c r="A226" s="23"/>
      <x:c r="B226" s="24"/>
      <x:c r="C226" s="24"/>
      <x:c r="D226" s="25">
        <x:f>+D186-D225</x:f>
        <x:v>0</x:v>
      </x:c>
      <x:c r="E226" s="25">
        <x:f>+E186-E225</x:f>
        <x:v>0</x:v>
      </x:c>
      <x:c r="F226" s="26">
        <x:f>+F186-F225</x:f>
        <x:v>0</x:v>
      </x:c>
      <x:c r="G226" s="27"/>
      <x:c r="H226" s="23"/>
      <x:c r="I226" s="24"/>
      <x:c r="J226" s="24"/>
      <x:c r="K226" s="25">
        <x:f>+K186-K225</x:f>
        <x:v>0</x:v>
      </x:c>
      <x:c r="L226" s="25">
        <x:f>+L186-L225</x:f>
        <x:v>0</x:v>
      </x:c>
      <x:c r="M226" s="26">
        <x:f>+M186-M225</x:f>
        <x:v>0</x:v>
      </x:c>
      <x:c r="N226" s="27"/>
      <x:c r="V226" s="1"/>
    </x:row>
  </x:sheetData>
  <x:mergeCells count="52">
    <x:mergeCell ref="A209:A212"/>
    <x:mergeCell ref="H209:H212"/>
    <x:mergeCell ref="A214:A223"/>
    <x:mergeCell ref="H214:H223"/>
    <x:mergeCell ref="A184:G184"/>
    <x:mergeCell ref="H184:N184"/>
    <x:mergeCell ref="A187:A202"/>
    <x:mergeCell ref="H187:H202"/>
    <x:mergeCell ref="A204:A207"/>
    <x:mergeCell ref="H204:H207"/>
    <x:mergeCell ref="A161:A164"/>
    <x:mergeCell ref="H161:H164"/>
    <x:mergeCell ref="A166:A169"/>
    <x:mergeCell ref="H166:H169"/>
    <x:mergeCell ref="A171:A180"/>
    <x:mergeCell ref="H171:H180"/>
    <x:mergeCell ref="A130:A137"/>
    <x:mergeCell ref="H130:H137"/>
    <x:mergeCell ref="A141:G141"/>
    <x:mergeCell ref="H141:N141"/>
    <x:mergeCell ref="A144:A159"/>
    <x:mergeCell ref="H144:H159"/>
    <x:mergeCell ref="A98:A119"/>
    <x:mergeCell ref="H98:H119"/>
    <x:mergeCell ref="A121:A124"/>
    <x:mergeCell ref="H121:H124"/>
    <x:mergeCell ref="A126:A128"/>
    <x:mergeCell ref="H126:H128"/>
    <x:mergeCell ref="A72:A77"/>
    <x:mergeCell ref="H72:H77"/>
    <x:mergeCell ref="A79:A91"/>
    <x:mergeCell ref="H79:H91"/>
    <x:mergeCell ref="A95:G95"/>
    <x:mergeCell ref="H95:N95"/>
    <x:mergeCell ref="A46:G46"/>
    <x:mergeCell ref="H46:N46"/>
    <x:mergeCell ref="A49:A65"/>
    <x:mergeCell ref="H49:H65"/>
    <x:mergeCell ref="A67:A70"/>
    <x:mergeCell ref="H67:H70"/>
    <x:mergeCell ref="A20:A25"/>
    <x:mergeCell ref="H20:H25"/>
    <x:mergeCell ref="A27:A30"/>
    <x:mergeCell ref="H27:H30"/>
    <x:mergeCell ref="A32:A42"/>
    <x:mergeCell ref="H32:H42"/>
    <x:mergeCell ref="A1:N1"/>
    <x:mergeCell ref="O1:S1"/>
    <x:mergeCell ref="A2:G2"/>
    <x:mergeCell ref="H2:N2"/>
    <x:mergeCell ref="A5:A18"/>
    <x:mergeCell ref="H5:H18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4" manualBreakCount="4">
    <x:brk id="45" min="0" max="1048575" man="1" pt="0"/>
    <x:brk id="94" min="0" max="1048575" man="1" pt="0"/>
    <x:brk id="140" min="0" max="1048575" man="1" pt="0"/>
    <x:brk id="183" min="0" max="1048575" man="1" pt="0"/>
  </x:rowBreaks>
</x:worksheet>
</file>

<file path=xl/worksheets/sheet7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3"/>
  <x:dimension ref="A1:S115"/>
  <x:sheetViews>
    <x:sheetView view="pageBreakPreview" topLeftCell="A1" zoomScaleNormal="100" zoomScaleSheetLayoutView="100" workbookViewId="0">
      <x:selection activeCell="H4" activeCellId="0" sqref="H4:H4"/>
    </x:sheetView>
  </x:sheetViews>
  <x:sheetFormatPr defaultColWidth="9.00390625" defaultRowHeight="16.5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1814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19" ht="20.100000000000001" customHeight="1">
      <x:c r="B2" s="264"/>
      <x:c r="C2" s="264"/>
      <x:c r="D2" s="264"/>
      <x:c r="E2" s="264"/>
      <x:c r="F2" s="264"/>
      <x:c r="G2" s="264"/>
      <x:c r="H2" s="264"/>
      <x:c r="I2" s="264"/>
      <x:c r="J2" s="264"/>
      <x:c r="K2" s="264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</x:row>
    <x:row r="3" spans="1:19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</x:row>
    <x:row r="4" spans="1:19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66" t="s">
        <x:v>202</x:v>
      </x:c>
      <x:c r="K4" s="290"/>
      <x:c r="L4" s="295"/>
      <x:c r="O4" s="287"/>
      <x:c r="P4" s="285"/>
      <x:c r="Q4" s="285"/>
      <x:c r="R4" s="285"/>
      <x:c r="S4" s="285"/>
    </x:row>
    <x:row r="5" spans="1:19" ht="30" customHeight="1">
      <x:c r="A5" s="60">
        <x:v>1</x:v>
      </x:c>
      <x:c r="B5" s="63" t="s">
        <x:v>772</x:v>
      </x:c>
      <x:c r="C5" s="63" t="s">
        <x:v>156</x:v>
      </x:c>
      <x:c r="D5" s="115" t="s">
        <x:v>117</x:v>
      </x:c>
      <x:c r="E5" s="74">
        <x:f>'22년01월(세부내역)'!D4</x:f>
        <x:v>782000000</x:v>
      </x:c>
      <x:c r="F5" s="67">
        <x:f>'22년01월(세부내역)'!D19</x:f>
        <x:v>715484719</x:v>
      </x:c>
      <x:c r="G5" s="67">
        <x:f>'22년01월(세부내역)'!D26</x:f>
        <x:v>142990000</x:v>
      </x:c>
      <x:c r="H5" s="67">
        <x:f>'22년01월(세부내역)'!D30</x:f>
        <x:v>2528000</x:v>
      </x:c>
      <x:c r="I5" s="67">
        <x:f>'22년01월(세부내역)'!D44</x:f>
        <x:v>8416566</x:v>
      </x:c>
      <x:c r="J5" s="75">
        <x:f t="shared" ref="J5:J11" si="0">+SUM(F5:I5)</x:f>
        <x:v>869419285</x:v>
      </x:c>
      <x:c r="K5" s="141">
        <x:f t="shared" ref="K5:K12" si="1">E5-J5</x:f>
        <x:v>-87419285</x:v>
      </x:c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</x:row>
    <x:row r="6" spans="1:12" ht="30" customHeight="1">
      <x:c r="A6" s="63">
        <x:v>2</x:v>
      </x:c>
      <x:c r="B6" s="63" t="s">
        <x:v>789</x:v>
      </x:c>
      <x:c r="C6" s="63" t="s">
        <x:v>156</x:v>
      </x:c>
      <x:c r="D6" s="115" t="s">
        <x:v>96</x:v>
      </x:c>
      <x:c r="E6" s="74">
        <x:f>+'22년01월(세부내역)'!K4</x:f>
        <x:v>133500000</x:v>
      </x:c>
      <x:c r="F6" s="59">
        <x:f>'22년01월(세부내역)'!K19</x:f>
        <x:v>446702883</x:v>
      </x:c>
      <x:c r="G6" s="59">
        <x:f>+'22년01월(세부내역)'!K26</x:f>
        <x:v>77882000</x:v>
      </x:c>
      <x:c r="H6" s="59">
        <x:f>+'22년01월(세부내역)'!K30</x:f>
        <x:v>3050000</x:v>
      </x:c>
      <x:c r="I6" s="59">
        <x:f>+'22년01월(세부내역)'!K44</x:f>
        <x:v>7335968</x:v>
      </x:c>
      <x:c r="J6" s="75">
        <x:f t="shared" si="0"/>
        <x:v>534970851</x:v>
      </x:c>
      <x:c r="K6" s="140">
        <x:f t="shared" si="1"/>
        <x:v>-401470851</x:v>
      </x:c>
      <x:c r="L6" s="204" t="s">
        <x:v>529</x:v>
      </x:c>
    </x:row>
    <x:row r="7" spans="1:12" ht="30" customHeight="1">
      <x:c r="A7" s="63">
        <x:v>3</x:v>
      </x:c>
      <x:c r="B7" s="63" t="s">
        <x:v>410</x:v>
      </x:c>
      <x:c r="C7" s="63" t="s">
        <x:v>488</x:v>
      </x:c>
      <x:c r="D7" s="115" t="s">
        <x:v>139</x:v>
      </x:c>
      <x:c r="E7" s="74">
        <x:f>'22년01월(세부내역)'!D49</x:f>
        <x:v>39000000</x:v>
      </x:c>
      <x:c r="F7" s="59">
        <x:f>'22년01월(세부내역)'!D67</x:f>
        <x:v>27042721</x:v>
      </x:c>
      <x:c r="G7" s="59">
        <x:f>'22년01월(세부내역)'!D72</x:f>
        <x:v>34755000</x:v>
      </x:c>
      <x:c r="H7" s="59">
        <x:f>+'22년01월(세부내역)'!D79</x:f>
        <x:v>1500000</x:v>
      </x:c>
      <x:c r="I7" s="59">
        <x:f>+'22년01월(세부내역)'!D93</x:f>
        <x:v>4743124</x:v>
      </x:c>
      <x:c r="J7" s="75">
        <x:f>+SUM(F7:I7)</x:f>
        <x:v>68040845</x:v>
      </x:c>
      <x:c r="K7" s="141">
        <x:f>E7-J7</x:f>
        <x:v>-29040845</x:v>
      </x:c>
      <x:c r="L7" s="205" t="s">
        <x:v>552</x:v>
      </x:c>
    </x:row>
    <x:row r="8" spans="1:12" ht="30" customHeight="1">
      <x:c r="A8" s="63">
        <x:v>4</x:v>
      </x:c>
      <x:c r="B8" s="63" t="s">
        <x:v>466</x:v>
      </x:c>
      <x:c r="C8" s="63" t="s">
        <x:v>791</x:v>
      </x:c>
      <x:c r="D8" s="115" t="s">
        <x:v>116</x:v>
      </x:c>
      <x:c r="E8" s="74">
        <x:f>'22년01월(세부내역)'!K49</x:f>
        <x:v>35567260</x:v>
      </x:c>
      <x:c r="F8" s="59">
        <x:f>+'22년01월(세부내역)'!K67</x:f>
        <x:v>850000</x:v>
      </x:c>
      <x:c r="G8" s="59">
        <x:f>+'22년01월(세부내역)'!K72</x:f>
        <x:v>0</x:v>
      </x:c>
      <x:c r="H8" s="59">
        <x:f>+'22년01월(세부내역)'!K79</x:f>
        <x:v>0</x:v>
      </x:c>
      <x:c r="I8" s="59">
        <x:f>+'22년01월(세부내역)'!K93</x:f>
        <x:v>0</x:v>
      </x:c>
      <x:c r="J8" s="75">
        <x:f>+SUM(F8:I8)</x:f>
        <x:v>850000</x:v>
      </x:c>
      <x:c r="K8" s="141">
        <x:f>E8-J8</x:f>
        <x:v>34717260</x:v>
      </x:c>
      <x:c r="L8" s="204" t="s">
        <x:v>579</x:v>
      </x:c>
    </x:row>
    <x:row r="9" spans="1:12" ht="30" customHeight="1">
      <x:c r="A9" s="63">
        <x:v>5</x:v>
      </x:c>
      <x:c r="B9" s="63" t="s">
        <x:v>423</x:v>
      </x:c>
      <x:c r="C9" s="63" t="s">
        <x:v>156</x:v>
      </x:c>
      <x:c r="D9" s="115" t="s">
        <x:v>123</x:v>
      </x:c>
      <x:c r="E9" s="74">
        <x:f>'22년01월(세부내역)'!D98</x:f>
        <x:v>0</x:v>
      </x:c>
      <x:c r="F9" s="59">
        <x:f>+'22년01월(세부내역)'!D115</x:f>
        <x:v>10000000</x:v>
      </x:c>
      <x:c r="G9" s="59">
        <x:f>+'22년01월(세부내역)'!D120</x:f>
        <x:v>0</x:v>
      </x:c>
      <x:c r="H9" s="59">
        <x:f>+'22년01월(세부내역)'!D125</x:f>
        <x:v>0</x:v>
      </x:c>
      <x:c r="I9" s="59">
        <x:f>+'22년01월(세부내역)'!D136</x:f>
        <x:v>435000</x:v>
      </x:c>
      <x:c r="J9" s="75">
        <x:f>+SUM(F9:I9)</x:f>
        <x:v>10435000</x:v>
      </x:c>
      <x:c r="K9" s="141">
        <x:f>E9-J9</x:f>
        <x:v>-10435000</x:v>
      </x:c>
      <x:c r="L9" s="205" t="s">
        <x:v>258</x:v>
      </x:c>
    </x:row>
    <x:row r="10" spans="1:12" ht="30" customHeight="1">
      <x:c r="A10" s="63">
        <x:v>6</x:v>
      </x:c>
      <x:c r="B10" s="63" t="s">
        <x:v>494</x:v>
      </x:c>
      <x:c r="C10" s="63" t="s">
        <x:v>1065</x:v>
      </x:c>
      <x:c r="D10" s="115" t="s">
        <x:v>502</x:v>
      </x:c>
      <x:c r="E10" s="74">
        <x:f>'22년01월(세부내역)'!K98</x:f>
        <x:v>0</x:v>
      </x:c>
      <x:c r="F10" s="59">
        <x:f>+'22년01월(세부내역)'!K115</x:f>
        <x:v>5092105</x:v>
      </x:c>
      <x:c r="G10" s="59">
        <x:f>+'22년01월(세부내역)'!K120</x:f>
        <x:v>31015000</x:v>
      </x:c>
      <x:c r="H10" s="59">
        <x:f>+'22년01월(세부내역)'!K125</x:f>
        <x:v>300000</x:v>
      </x:c>
      <x:c r="I10" s="59">
        <x:f>+'22년01월(세부내역)'!K136</x:f>
        <x:v>5392827</x:v>
      </x:c>
      <x:c r="J10" s="75">
        <x:f>+SUM(F10:I10)</x:f>
        <x:v>41799932</x:v>
      </x:c>
      <x:c r="K10" s="141">
        <x:f>E10-J10</x:f>
        <x:v>-41799932</x:v>
      </x:c>
      <x:c r="L10" s="204"/>
    </x:row>
    <x:row r="11" spans="1:12" ht="30" customHeight="1">
      <x:c r="A11" s="63">
        <x:v>7</x:v>
      </x:c>
      <x:c r="B11" s="63" t="s">
        <x:v>553</x:v>
      </x:c>
      <x:c r="C11" s="63" t="s">
        <x:v>791</x:v>
      </x:c>
      <x:c r="D11" s="115" t="s">
        <x:v>551</x:v>
      </x:c>
      <x:c r="E11" s="74">
        <x:f>'22년01월(세부내역)'!D141</x:f>
        <x:v>10699640</x:v>
      </x:c>
      <x:c r="F11" s="59">
        <x:f>+'22년01월(세부내역)'!D158</x:f>
        <x:v>0</x:v>
      </x:c>
      <x:c r="G11" s="59">
        <x:f>+'22년01월(세부내역)'!D163</x:f>
        <x:v>0</x:v>
      </x:c>
      <x:c r="H11" s="59">
        <x:f>+'22년01월(세부내역)'!D168</x:f>
        <x:v>0</x:v>
      </x:c>
      <x:c r="I11" s="59">
        <x:f>+'22년01월(세부내역)'!D179</x:f>
        <x:v>0</x:v>
      </x:c>
      <x:c r="J11" s="75">
        <x:f t="shared" si="0"/>
        <x:v>0</x:v>
      </x:c>
      <x:c r="K11" s="141">
        <x:f t="shared" si="1"/>
        <x:v>10699640</x:v>
      </x:c>
      <x:c r="L11" s="204" t="s">
        <x:v>1661</x:v>
      </x:c>
    </x:row>
    <x:row r="12" spans="1:12" ht="30" customHeight="1">
      <x:c r="A12" s="63">
        <x:v>8</x:v>
      </x:c>
      <x:c r="B12" s="63" t="s">
        <x:v>560</x:v>
      </x:c>
      <x:c r="C12" s="63" t="s">
        <x:v>156</x:v>
      </x:c>
      <x:c r="D12" s="115" t="s">
        <x:v>564</x:v>
      </x:c>
      <x:c r="E12" s="74">
        <x:f>'22년01월(세부내역)'!K141</x:f>
        <x:v>0</x:v>
      </x:c>
      <x:c r="F12" s="59">
        <x:f>+'22년01월(세부내역)'!K158</x:f>
        <x:v>0</x:v>
      </x:c>
      <x:c r="G12" s="59">
        <x:f>+'22년01월(세부내역)'!K163</x:f>
        <x:v>0</x:v>
      </x:c>
      <x:c r="H12" s="59">
        <x:f>+'22년01월(세부내역)'!K168</x:f>
        <x:v>0</x:v>
      </x:c>
      <x:c r="I12" s="59">
        <x:f>+'22년01월(세부내역)'!K179</x:f>
        <x:v>0</x:v>
      </x:c>
      <x:c r="J12" s="75">
        <x:f>+SUM(F12:I12)</x:f>
        <x:v>0</x:v>
      </x:c>
      <x:c r="K12" s="141">
        <x:f t="shared" si="1"/>
        <x:v>0</x:v>
      </x:c>
      <x:c r="L12" s="204"/>
    </x:row>
    <x:row r="13" spans="1:12" ht="30" customHeight="1">
      <x:c r="A13" s="64"/>
      <x:c r="B13" s="64" t="s">
        <x:v>1690</x:v>
      </x:c>
      <x:c r="C13" s="64"/>
      <x:c r="D13" s="64"/>
      <x:c r="E13" s="68">
        <x:f t="shared" ref="E13:K13" si="2">SUM(E5:E12)</x:f>
        <x:v>1000766900</x:v>
      </x:c>
      <x:c r="F13" s="66">
        <x:f t="shared" si="2"/>
        <x:v>1205172428</x:v>
      </x:c>
      <x:c r="G13" s="66">
        <x:f t="shared" si="2"/>
        <x:v>286642000</x:v>
      </x:c>
      <x:c r="H13" s="66">
        <x:f t="shared" si="2"/>
        <x:v>7378000</x:v>
      </x:c>
      <x:c r="I13" s="66">
        <x:f t="shared" si="2"/>
        <x:v>26323485</x:v>
      </x:c>
      <x:c r="J13" s="69">
        <x:f t="shared" si="2"/>
        <x:v>1525515913</x:v>
      </x:c>
      <x:c r="K13" s="142">
        <x:f t="shared" si="2"/>
        <x:v>-524749013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4"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7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4"/>
  <x:dimension ref="A1:V181"/>
  <x:sheetViews>
    <x:sheetView view="pageBreakPreview" topLeftCell="A107" zoomScaleNormal="100" zoomScaleSheetLayoutView="100" workbookViewId="0">
      <x:selection activeCell="H4" activeCellId="0" sqref="H4:H4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  <x:col min="15" max="15" width="11.875" style="2" customWidth="1"/>
    <x:col min="16" max="16" width="13.375" style="2" customWidth="1"/>
    <x:col min="17" max="17" width="10.875" style="2" bestFit="1" customWidth="1"/>
    <x:col min="18" max="21" width="10.875" style="2" customWidth="1"/>
    <x:col min="22" max="22" width="11.875" style="1" customWidth="1"/>
  </x:cols>
  <x:sheetData>
    <x:row r="1" spans="1:21" ht="38.25" customHeight="1">
      <x:c r="A1" s="286" t="s">
        <x:v>1819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  <x:c r="O1" s="307" t="s">
        <x:v>1334</x:v>
      </x:c>
      <x:c r="P1" s="307"/>
      <x:c r="Q1" s="307"/>
      <x:c r="R1" s="307"/>
      <x:c r="S1" s="307"/>
      <x:c r="T1" s="1"/>
      <x:c r="U1" s="1"/>
    </x:row>
    <x:row r="2" spans="1:22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789</x:v>
      </x:c>
      <x:c r="I2" s="303"/>
      <x:c r="J2" s="303"/>
      <x:c r="K2" s="303"/>
      <x:c r="L2" s="303"/>
      <x:c r="M2" s="304"/>
      <x:c r="N2" s="305"/>
      <x:c r="O2" s="186" t="s">
        <x:v>1689</x:v>
      </x:c>
      <x:c r="P2" s="173" t="s">
        <x:v>1331</x:v>
      </x:c>
      <x:c r="Q2" s="173" t="s">
        <x:v>1353</x:v>
      </x:c>
      <x:c r="R2" s="173" t="s">
        <x:v>1343</x:v>
      </x:c>
      <x:c r="S2" s="173" t="s">
        <x:v>1361</x:v>
      </x:c>
      <x:c r="T2" s="173" t="s">
        <x:v>1407</x:v>
      </x:c>
      <x:c r="U2" s="173"/>
      <x:c r="V2" s="174" t="s">
        <x:v>282</x:v>
      </x:c>
    </x:row>
    <x:row r="3" spans="1:22" ht="20.100000000000001" customHeight="1">
      <x:c r="A3" s="29" t="s">
        <x:v>147</x:v>
      </x:c>
      <x:c r="B3" s="266" t="s">
        <x:v>144</x:v>
      </x:c>
      <x:c r="C3" s="266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66" t="s">
        <x:v>144</x:v>
      </x:c>
      <x:c r="J3" s="266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  <x:c r="O3" s="186">
        <x:v>10010000</x:v>
      </x:c>
      <x:c r="P3" s="173">
        <x:v>2880400</x:v>
      </x:c>
      <x:c r="Q3" s="173">
        <x:v>3241790</x:v>
      </x:c>
      <x:c r="R3" s="173">
        <x:v>3887810</x:v>
      </x:c>
      <x:c r="S3" s="173"/>
      <x:c r="T3" s="173"/>
      <x:c r="U3" s="173"/>
      <x:c r="V3" s="175"/>
    </x:row>
    <x:row r="4" spans="1:22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782000000</x:v>
      </x:c>
      <x:c r="E4" s="39">
        <x:v>24200000</x:v>
      </x:c>
      <x:c r="F4" s="40">
        <x:f>+D4+E4</x:f>
        <x:v>806200000</x:v>
      </x:c>
      <x:c r="G4" s="42"/>
      <x:c r="H4" s="265" t="s">
        <x:v>151</x:v>
      </x:c>
      <x:c r="I4" s="38" t="s">
        <x:v>1679</x:v>
      </x:c>
      <x:c r="J4" s="38" t="s">
        <x:v>156</x:v>
      </x:c>
      <x:c r="K4" s="39">
        <x:v>133500000</x:v>
      </x:c>
      <x:c r="L4" s="39">
        <x:f>+K4*0.1</x:f>
        <x:v>13350000</x:v>
      </x:c>
      <x:c r="M4" s="40">
        <x:f>+K4+L4</x:f>
        <x:v>146850000</x:v>
      </x:c>
      <x:c r="N4" s="18" t="s">
        <x:v>1588</x:v>
      </x:c>
      <x:c r="O4" s="186" t="s">
        <x:v>1696</x:v>
      </x:c>
      <x:c r="P4" s="173" t="s">
        <x:v>1331</x:v>
      </x:c>
      <x:c r="Q4" s="173" t="s">
        <x:v>1353</x:v>
      </x:c>
      <x:c r="R4" s="173" t="s">
        <x:v>1343</x:v>
      </x:c>
      <x:c r="S4" s="173" t="s">
        <x:v>1361</x:v>
      </x:c>
      <x:c r="T4" s="173" t="s">
        <x:v>1407</x:v>
      </x:c>
      <x:c r="U4" s="173" t="s">
        <x:v>1422</x:v>
      </x:c>
      <x:c r="V4" s="176"/>
    </x:row>
    <x:row r="5" spans="1:22" ht="20.100000000000001" customHeight="1">
      <x:c r="A5" s="298" t="s">
        <x:v>148</x:v>
      </x:c>
      <x:c r="B5" s="210" t="s">
        <x:v>867</x:v>
      </x:c>
      <x:c r="C5" s="211" t="s">
        <x:v>369</x:v>
      </x:c>
      <x:c r="D5" s="212">
        <x:v>702104983</x:v>
      </x:c>
      <x:c r="E5" s="277">
        <x:f>+INT(D5*0.1)</x:f>
        <x:v>70210498</x:v>
      </x:c>
      <x:c r="F5" s="213">
        <x:f>+D5+E5</x:f>
        <x:v>772315481</x:v>
      </x:c>
      <x:c r="G5" s="252"/>
      <x:c r="H5" s="298" t="s">
        <x:v>148</x:v>
      </x:c>
      <x:c r="I5" s="54" t="s">
        <x:v>867</x:v>
      </x:c>
      <x:c r="J5" s="211" t="s">
        <x:v>369</x:v>
      </x:c>
      <x:c r="K5" s="20">
        <x:v>289184523</x:v>
      </x:c>
      <x:c r="L5" s="20">
        <x:f t="shared" ref="L5:L18" si="0">+INT(K5*0.1)</x:f>
        <x:v>28918452</x:v>
      </x:c>
      <x:c r="M5" s="21">
        <x:f t="shared" ref="M5:M25" si="1">+K5+L5</x:f>
        <x:v>318102975</x:v>
      </x:c>
      <x:c r="N5" s="22"/>
      <x:c r="O5" s="186">
        <x:v>199938000</x:v>
      </x:c>
      <x:c r="P5" s="173"/>
      <x:c r="Q5" s="173">
        <x:v>4117540</x:v>
      </x:c>
      <x:c r="R5" s="173">
        <x:v>11535000</x:v>
      </x:c>
      <x:c r="S5" s="173">
        <x:v>12438500</x:v>
      </x:c>
      <x:c r="T5" s="173">
        <x:f>50117606+23583000</x:f>
        <x:v>73700606</x:v>
      </x:c>
      <x:c r="U5" s="173">
        <x:v>98146354</x:v>
      </x:c>
      <x:c r="V5" s="175">
        <x:f>+$O$5-(Q5+R5+S5+T5+U5)</x:f>
        <x:v>0</x:v>
      </x:c>
    </x:row>
    <x:row r="6" spans="1:22" ht="20.100000000000001" customHeight="1">
      <x:c r="A6" s="299"/>
      <x:c r="B6" s="261" t="s">
        <x:v>902</x:v>
      </x:c>
      <x:c r="C6" s="178" t="s">
        <x:v>1664</x:v>
      </x:c>
      <x:c r="D6" s="163">
        <x:v>1200840</x:v>
      </x:c>
      <x:c r="E6" s="278">
        <x:f>+D6*0.1</x:f>
        <x:v>120084</x:v>
      </x:c>
      <x:c r="F6" s="164">
        <x:f>+D6+E6</x:f>
        <x:v>1320924</x:v>
      </x:c>
      <x:c r="G6" s="203"/>
      <x:c r="H6" s="299"/>
      <x:c r="I6" s="162" t="s">
        <x:v>1348</x:v>
      </x:c>
      <x:c r="J6" s="262" t="s">
        <x:v>127</x:v>
      </x:c>
      <x:c r="K6" s="4">
        <x:v>114500</x:v>
      </x:c>
      <x:c r="L6" s="4">
        <x:f t="shared" si="0"/>
        <x:v>11450</x:v>
      </x:c>
      <x:c r="M6" s="5">
        <x:f t="shared" si="1"/>
        <x:v>125950</x:v>
      </x:c>
      <x:c r="N6" s="198"/>
      <x:c r="O6" s="199"/>
      <x:c r="P6" s="199"/>
      <x:c r="Q6" s="199"/>
      <x:c r="R6" s="199"/>
      <x:c r="S6" s="199"/>
      <x:c r="T6" s="199"/>
      <x:c r="U6" s="199"/>
      <x:c r="V6" s="200"/>
    </x:row>
    <x:row r="7" spans="1:14" ht="20.100000000000001" customHeight="1">
      <x:c r="A7" s="299"/>
      <x:c r="B7" s="129" t="s">
        <x:v>1348</x:v>
      </x:c>
      <x:c r="C7" s="3" t="s">
        <x:v>136</x:v>
      </x:c>
      <x:c r="D7" s="163">
        <x:v>2116150</x:v>
      </x:c>
      <x:c r="E7" s="209">
        <x:f>+D7*0.1</x:f>
        <x:v>211615</x:v>
      </x:c>
      <x:c r="F7" s="5">
        <x:f>+D7+E7</x:f>
        <x:v>2327765</x:v>
      </x:c>
      <x:c r="G7" s="180"/>
      <x:c r="H7" s="299"/>
      <x:c r="I7" s="3" t="s">
        <x:v>838</x:v>
      </x:c>
      <x:c r="J7" s="129" t="s">
        <x:v>643</x:v>
      </x:c>
      <x:c r="K7" s="4">
        <x:v>13220</x:v>
      </x:c>
      <x:c r="L7" s="4">
        <x:f t="shared" si="0"/>
        <x:v>1322</x:v>
      </x:c>
      <x:c r="M7" s="5">
        <x:f t="shared" si="1"/>
        <x:v>14542</x:v>
      </x:c>
      <x:c r="N7" s="6"/>
    </x:row>
    <x:row r="8" spans="1:14" ht="20.100000000000001" customHeight="1">
      <x:c r="A8" s="299"/>
      <x:c r="B8" s="129" t="s">
        <x:v>895</x:v>
      </x:c>
      <x:c r="C8" s="162"/>
      <x:c r="D8" s="163"/>
      <x:c r="E8" s="278">
        <x:f>+D8*0.1</x:f>
        <x:v>0</x:v>
      </x:c>
      <x:c r="F8" s="164">
        <x:f t="shared" ref="F8:F15" si="2">+D8+E8</x:f>
        <x:v>0</x:v>
      </x:c>
      <x:c r="G8" s="233"/>
      <x:c r="H8" s="299"/>
      <x:c r="I8" s="3" t="s">
        <x:v>1119</x:v>
      </x:c>
      <x:c r="J8" s="129" t="s">
        <x:v>1386</x:v>
      </x:c>
      <x:c r="K8" s="4">
        <x:v>4914000</x:v>
      </x:c>
      <x:c r="L8" s="4">
        <x:f t="shared" si="0"/>
        <x:v>491400</x:v>
      </x:c>
      <x:c r="M8" s="5">
        <x:f t="shared" si="1"/>
        <x:v>5405400</x:v>
      </x:c>
      <x:c r="N8" s="6"/>
    </x:row>
    <x:row r="9" spans="1:14" ht="20.100000000000001" customHeight="1">
      <x:c r="A9" s="299"/>
      <x:c r="B9" s="129" t="s">
        <x:v>1119</x:v>
      </x:c>
      <x:c r="C9" s="162" t="s">
        <x:v>588</x:v>
      </x:c>
      <x:c r="D9" s="163">
        <x:v>140000</x:v>
      </x:c>
      <x:c r="E9" s="209">
        <x:f t="shared" ref="E9:E16" si="3">+D9*0.1</x:f>
        <x:v>14000</x:v>
      </x:c>
      <x:c r="F9" s="45">
        <x:f t="shared" si="2"/>
        <x:v>154000</x:v>
      </x:c>
      <x:c r="G9" s="37"/>
      <x:c r="H9" s="299"/>
      <x:c r="I9" s="3" t="s">
        <x:v>938</x:v>
      </x:c>
      <x:c r="J9" s="129" t="s">
        <x:v>1094</x:v>
      </x:c>
      <x:c r="K9" s="4">
        <x:v>3160000</x:v>
      </x:c>
      <x:c r="L9" s="4">
        <x:f>+INT(K9*0.1)</x:f>
        <x:v>316000</x:v>
      </x:c>
      <x:c r="M9" s="5">
        <x:f t="shared" si="1"/>
        <x:v>3476000</x:v>
      </x:c>
      <x:c r="N9" s="6" t="s">
        <x:v>1431</x:v>
      </x:c>
    </x:row>
    <x:row r="10" spans="1:14" ht="20.100000000000001" customHeight="1">
      <x:c r="A10" s="299"/>
      <x:c r="B10" s="129" t="s">
        <x:v>846</x:v>
      </x:c>
      <x:c r="C10" s="3" t="s">
        <x:v>1665</x:v>
      </x:c>
      <x:c r="D10" s="163">
        <x:v>1485000</x:v>
      </x:c>
      <x:c r="E10" s="209">
        <x:f t="shared" si="3"/>
        <x:v>148500</x:v>
      </x:c>
      <x:c r="F10" s="5">
        <x:f t="shared" si="2"/>
        <x:v>1633500</x:v>
      </x:c>
      <x:c r="G10" s="37"/>
      <x:c r="H10" s="299"/>
      <x:c r="I10" s="3" t="s">
        <x:v>864</x:v>
      </x:c>
      <x:c r="J10" s="129" t="s">
        <x:v>130</x:v>
      </x:c>
      <x:c r="K10" s="4">
        <x:f>8783940+75000+342000</x:f>
        <x:v>9200940</x:v>
      </x:c>
      <x:c r="L10" s="4">
        <x:f t="shared" si="0"/>
        <x:v>920094</x:v>
      </x:c>
      <x:c r="M10" s="5">
        <x:f t="shared" si="1"/>
        <x:v>10121034</x:v>
      </x:c>
      <x:c r="N10" s="6"/>
    </x:row>
    <x:row r="11" spans="1:14" ht="20.100000000000001" customHeight="1">
      <x:c r="A11" s="299"/>
      <x:c r="B11" s="261" t="s">
        <x:v>864</x:v>
      </x:c>
      <x:c r="C11" s="178" t="s">
        <x:v>457</x:v>
      </x:c>
      <x:c r="D11" s="163">
        <x:f>400000+1296250+4969400+103500</x:f>
        <x:v>6769150</x:v>
      </x:c>
      <x:c r="E11" s="209">
        <x:f t="shared" si="3"/>
        <x:v>676915</x:v>
      </x:c>
      <x:c r="F11" s="5">
        <x:f t="shared" si="2"/>
        <x:v>7446065</x:v>
      </x:c>
      <x:c r="G11" s="6"/>
      <x:c r="H11" s="299"/>
      <x:c r="I11" s="3" t="s">
        <x:v>1058</x:v>
      </x:c>
      <x:c r="J11" s="129" t="s">
        <x:v>554</x:v>
      </x:c>
      <x:c r="K11" s="4"/>
      <x:c r="L11" s="4">
        <x:f t="shared" si="0"/>
        <x:v>0</x:v>
      </x:c>
      <x:c r="M11" s="5">
        <x:f t="shared" si="1"/>
        <x:v>0</x:v>
      </x:c>
      <x:c r="N11" s="217"/>
    </x:row>
    <x:row r="12" spans="1:14" ht="20.100000000000001" customHeight="1">
      <x:c r="A12" s="299"/>
      <x:c r="B12" s="261" t="s">
        <x:v>1058</x:v>
      </x:c>
      <x:c r="C12" s="178" t="s">
        <x:v>586</x:v>
      </x:c>
      <x:c r="D12" s="163">
        <x:v>150000</x:v>
      </x:c>
      <x:c r="E12" s="209">
        <x:f t="shared" si="3"/>
        <x:v>15000</x:v>
      </x:c>
      <x:c r="F12" s="5">
        <x:f t="shared" si="2"/>
        <x:v>165000</x:v>
      </x:c>
      <x:c r="G12" s="6"/>
      <x:c r="H12" s="299"/>
      <x:c r="I12" s="3" t="s">
        <x:v>1378</x:v>
      </x:c>
      <x:c r="J12" s="129" t="s">
        <x:v>1301</x:v>
      </x:c>
      <x:c r="K12" s="4">
        <x:v>3686200</x:v>
      </x:c>
      <x:c r="L12" s="4">
        <x:f t="shared" si="0"/>
        <x:v>368620</x:v>
      </x:c>
      <x:c r="M12" s="5">
        <x:f t="shared" si="1"/>
        <x:v>4054820</x:v>
      </x:c>
      <x:c r="N12" s="217"/>
    </x:row>
    <x:row r="13" spans="1:14" ht="20.100000000000001" customHeight="1">
      <x:c r="A13" s="299"/>
      <x:c r="B13" s="129" t="s">
        <x:v>938</x:v>
      </x:c>
      <x:c r="C13" s="3"/>
      <x:c r="D13" s="163"/>
      <x:c r="E13" s="209">
        <x:f t="shared" si="3"/>
        <x:v>0</x:v>
      </x:c>
      <x:c r="F13" s="45">
        <x:f t="shared" si="2"/>
        <x:v>0</x:v>
      </x:c>
      <x:c r="G13" s="37"/>
      <x:c r="H13" s="299"/>
      <x:c r="I13" s="3" t="s">
        <x:v>1315</x:v>
      </x:c>
      <x:c r="J13" s="129"/>
      <x:c r="K13" s="4"/>
      <x:c r="L13" s="4">
        <x:f t="shared" si="0"/>
        <x:v>0</x:v>
      </x:c>
      <x:c r="M13" s="5">
        <x:f t="shared" si="1"/>
        <x:v>0</x:v>
      </x:c>
      <x:c r="N13" s="6"/>
    </x:row>
    <x:row r="14" spans="1:14" ht="20.100000000000001" customHeight="1">
      <x:c r="A14" s="299"/>
      <x:c r="B14" s="262" t="s">
        <x:v>1378</x:v>
      </x:c>
      <x:c r="C14" s="162" t="s">
        <x:v>1653</x:v>
      </x:c>
      <x:c r="D14" s="163">
        <x:v>506996</x:v>
      </x:c>
      <x:c r="E14" s="209">
        <x:f>+INT(D14*0.1)+1</x:f>
        <x:v>50700</x:v>
      </x:c>
      <x:c r="F14" s="45">
        <x:f t="shared" si="2"/>
        <x:v>557696</x:v>
      </x:c>
      <x:c r="G14" s="6"/>
      <x:c r="H14" s="299"/>
      <x:c r="I14" s="3" t="s">
        <x:v>846</x:v>
      </x:c>
      <x:c r="J14" s="129" t="s">
        <x:v>1675</x:v>
      </x:c>
      <x:c r="K14" s="4">
        <x:v>1181500</x:v>
      </x:c>
      <x:c r="L14" s="4">
        <x:f t="shared" si="0"/>
        <x:v>118150</x:v>
      </x:c>
      <x:c r="M14" s="5">
        <x:f t="shared" si="1"/>
        <x:v>1299650</x:v>
      </x:c>
      <x:c r="N14" s="6"/>
    </x:row>
    <x:row r="15" spans="1:14" ht="20.100000000000001" customHeight="1">
      <x:c r="A15" s="299"/>
      <x:c r="B15" s="129" t="s">
        <x:v>976</x:v>
      </x:c>
      <x:c r="C15" s="3"/>
      <x:c r="D15" s="163"/>
      <x:c r="E15" s="209">
        <x:f t="shared" si="3"/>
        <x:v>0</x:v>
      </x:c>
      <x:c r="F15" s="45">
        <x:f t="shared" si="2"/>
        <x:v>0</x:v>
      </x:c>
      <x:c r="G15" s="37"/>
      <x:c r="H15" s="299"/>
      <x:c r="I15" s="3" t="s">
        <x:v>1564</x:v>
      </x:c>
      <x:c r="J15" s="129" t="s">
        <x:v>1648</x:v>
      </x:c>
      <x:c r="K15" s="4">
        <x:v>48000</x:v>
      </x:c>
      <x:c r="L15" s="4">
        <x:f t="shared" si="0"/>
        <x:v>4800</x:v>
      </x:c>
      <x:c r="M15" s="5">
        <x:f t="shared" si="1"/>
        <x:v>52800</x:v>
      </x:c>
      <x:c r="N15" s="6"/>
    </x:row>
    <x:row r="16" spans="1:14" ht="20.100000000000001" customHeight="1">
      <x:c r="A16" s="299"/>
      <x:c r="B16" s="262" t="s">
        <x:v>1564</x:v>
      </x:c>
      <x:c r="C16" s="162"/>
      <x:c r="D16" s="163"/>
      <x:c r="E16" s="278">
        <x:f t="shared" si="3"/>
        <x:v>0</x:v>
      </x:c>
      <x:c r="F16" s="164">
        <x:f>+D16+E16</x:f>
        <x:v>0</x:v>
      </x:c>
      <x:c r="G16" s="180"/>
      <x:c r="H16" s="299"/>
      <x:c r="I16" s="3" t="s">
        <x:v>1612</x:v>
      </x:c>
      <x:c r="J16" s="129" t="s">
        <x:v>244</x:v>
      </x:c>
      <x:c r="K16" s="4"/>
      <x:c r="L16" s="4">
        <x:f t="shared" si="0"/>
        <x:v>0</x:v>
      </x:c>
      <x:c r="M16" s="5">
        <x:f t="shared" si="1"/>
        <x:v>0</x:v>
      </x:c>
      <x:c r="N16" s="6"/>
    </x:row>
    <x:row r="17" spans="1:14" ht="20.100000000000001" customHeight="1">
      <x:c r="A17" s="299"/>
      <x:c r="B17" s="129" t="s">
        <x:v>854</x:v>
      </x:c>
      <x:c r="C17" s="3" t="s">
        <x:v>1704</x:v>
      </x:c>
      <x:c r="D17" s="163">
        <x:v>333600</x:v>
      </x:c>
      <x:c r="E17" s="278">
        <x:f>+D17*0.1</x:f>
        <x:v>33360</x:v>
      </x:c>
      <x:c r="F17" s="164">
        <x:f>+D17+E17</x:f>
        <x:v>366960</x:v>
      </x:c>
      <x:c r="G17" s="6"/>
      <x:c r="H17" s="299"/>
      <x:c r="I17" s="3" t="s">
        <x:v>1202</x:v>
      </x:c>
      <x:c r="J17" s="129" t="s">
        <x:v>242</x:v>
      </x:c>
      <x:c r="K17" s="4">
        <x:v>135200000</x:v>
      </x:c>
      <x:c r="L17" s="4">
        <x:f t="shared" si="0"/>
        <x:v>13520000</x:v>
      </x:c>
      <x:c r="M17" s="5">
        <x:f t="shared" si="1"/>
        <x:v>148720000</x:v>
      </x:c>
      <x:c r="N17" s="6" t="s">
        <x:v>1651</x:v>
      </x:c>
    </x:row>
    <x:row r="18" spans="1:14" ht="20.100000000000001" customHeight="1">
      <x:c r="A18" s="300"/>
      <x:c r="B18" s="3" t="s">
        <x:v>938</x:v>
      </x:c>
      <x:c r="C18" s="3" t="s">
        <x:v>1459</x:v>
      </x:c>
      <x:c r="D18" s="163">
        <x:v>678000</x:v>
      </x:c>
      <x:c r="E18" s="209">
        <x:f>+D18*0.1</x:f>
        <x:v>67800</x:v>
      </x:c>
      <x:c r="F18" s="45">
        <x:f>+D18+E18</x:f>
        <x:v>745800</x:v>
      </x:c>
      <x:c r="G18" s="6"/>
      <x:c r="H18" s="300"/>
      <x:c r="I18" s="3"/>
      <x:c r="J18" s="3"/>
      <x:c r="K18" s="4"/>
      <x:c r="L18" s="4">
        <x:f t="shared" si="0"/>
        <x:v>0</x:v>
      </x:c>
      <x:c r="M18" s="5">
        <x:f t="shared" si="1"/>
        <x:v>0</x:v>
      </x:c>
      <x:c r="N18" s="6"/>
    </x:row>
    <x:row r="19" spans="1:14" ht="20.100000000000001" customHeight="1">
      <x:c r="A19" s="7" t="s">
        <x:v>155</x:v>
      </x:c>
      <x:c r="B19" s="8"/>
      <x:c r="C19" s="8"/>
      <x:c r="D19" s="80">
        <x:f>SUM(D5:D18)</x:f>
        <x:v>715484719</x:v>
      </x:c>
      <x:c r="E19" s="279">
        <x:f>SUM(E5:E18)</x:f>
        <x:v>71548472</x:v>
      </x:c>
      <x:c r="F19" s="10">
        <x:f>SUM(F5:F18)</x:f>
        <x:v>787033191</x:v>
      </x:c>
      <x:c r="G19" s="11"/>
      <x:c r="H19" s="7" t="s">
        <x:v>155</x:v>
      </x:c>
      <x:c r="I19" s="8"/>
      <x:c r="J19" s="8"/>
      <x:c r="K19" s="9">
        <x:f>SUM(K5:K18)</x:f>
        <x:v>446702883</x:v>
      </x:c>
      <x:c r="L19" s="9">
        <x:f>SUM(L5:L18)</x:f>
        <x:v>44670288</x:v>
      </x:c>
      <x:c r="M19" s="10">
        <x:f>SUM(M5:M18)</x:f>
        <x:v>491373171</x:v>
      </x:c>
      <x:c r="N19" s="11"/>
    </x:row>
    <x:row r="20" spans="1:14" ht="20.100000000000001" customHeight="1">
      <x:c r="A20" s="301" t="s">
        <x:v>153</x:v>
      </x:c>
      <x:c r="B20" s="3" t="s">
        <x:v>1677</x:v>
      </x:c>
      <x:c r="C20" s="3" t="s">
        <x:v>1079</x:v>
      </x:c>
      <x:c r="D20" s="163">
        <x:v>40880000</x:v>
      </x:c>
      <x:c r="E20" s="280"/>
      <x:c r="F20" s="45">
        <x:f t="shared" ref="F20:F25" si="4">+D20+E20</x:f>
        <x:v>40880000</x:v>
      </x:c>
      <x:c r="G20" s="37"/>
      <x:c r="H20" s="301" t="s">
        <x:v>153</x:v>
      </x:c>
      <x:c r="I20" s="3" t="s">
        <x:v>1677</x:v>
      </x:c>
      <x:c r="J20" s="3" t="s">
        <x:v>1308</x:v>
      </x:c>
      <x:c r="K20" s="4">
        <x:v>76667000</x:v>
      </x:c>
      <x:c r="L20" s="4"/>
      <x:c r="M20" s="5">
        <x:f t="shared" si="1"/>
        <x:v>76667000</x:v>
      </x:c>
      <x:c r="N20" s="6"/>
    </x:row>
    <x:row r="21" spans="1:14" ht="20.100000000000001" customHeight="1">
      <x:c r="A21" s="299"/>
      <x:c r="B21" s="3" t="s">
        <x:v>1241</x:v>
      </x:c>
      <x:c r="C21" s="3" t="s">
        <x:v>1389</x:v>
      </x:c>
      <x:c r="D21" s="163">
        <x:v>8450000</x:v>
      </x:c>
      <x:c r="E21" s="209"/>
      <x:c r="F21" s="5">
        <x:f t="shared" si="4"/>
        <x:v>8450000</x:v>
      </x:c>
      <x:c r="G21" s="37"/>
      <x:c r="H21" s="299"/>
      <x:c r="I21" s="3" t="s">
        <x:v>1241</x:v>
      </x:c>
      <x:c r="J21" s="3" t="s">
        <x:v>523</x:v>
      </x:c>
      <x:c r="K21" s="4">
        <x:v>7480000</x:v>
      </x:c>
      <x:c r="L21" s="4"/>
      <x:c r="M21" s="5">
        <x:f t="shared" si="1"/>
        <x:v>7480000</x:v>
      </x:c>
      <x:c r="N21" s="6"/>
    </x:row>
    <x:row r="22" spans="1:22" s="2" customFormat="1" ht="20.100000000000001" customHeight="1">
      <x:c r="A22" s="299"/>
      <x:c r="B22" s="3" t="s">
        <x:v>1241</x:v>
      </x:c>
      <x:c r="C22" s="3" t="s">
        <x:v>547</x:v>
      </x:c>
      <x:c r="D22" s="163">
        <x:v>49460000</x:v>
      </x:c>
      <x:c r="E22" s="209">
        <x:v>1200000</x:v>
      </x:c>
      <x:c r="F22" s="5">
        <x:f t="shared" si="4"/>
        <x:v>50660000</x:v>
      </x:c>
      <x:c r="G22" s="37" t="s">
        <x:v>1666</x:v>
      </x:c>
      <x:c r="H22" s="299"/>
      <x:c r="I22" s="3" t="s">
        <x:v>1535</x:v>
      </x:c>
      <x:c r="J22" s="3" t="s">
        <x:v>1604</x:v>
      </x:c>
      <x:c r="K22" s="35">
        <x:v>-6265000</x:v>
      </x:c>
      <x:c r="L22" s="4"/>
      <x:c r="M22" s="5">
        <x:f t="shared" si="1"/>
        <x:v>-6265000</x:v>
      </x:c>
      <x:c r="N22" s="6"/>
      <x:c r="V22" s="1"/>
    </x:row>
    <x:row r="23" spans="1:22" s="2" customFormat="1" ht="20.100000000000001" customHeight="1">
      <x:c r="A23" s="299"/>
      <x:c r="B23" s="3" t="s">
        <x:v>1241</x:v>
      </x:c>
      <x:c r="C23" s="3" t="s">
        <x:v>587</x:v>
      </x:c>
      <x:c r="D23" s="163">
        <x:v>16600000</x:v>
      </x:c>
      <x:c r="E23" s="209"/>
      <x:c r="F23" s="5">
        <x:f t="shared" si="4"/>
        <x:v>16600000</x:v>
      </x:c>
      <x:c r="G23" s="37"/>
      <x:c r="H23" s="299"/>
      <x:c r="I23" s="3"/>
      <x:c r="J23" s="3"/>
      <x:c r="K23" s="4"/>
      <x:c r="L23" s="4"/>
      <x:c r="M23" s="5"/>
      <x:c r="N23" s="6"/>
      <x:c r="V23" s="1"/>
    </x:row>
    <x:row r="24" spans="1:22" s="2" customFormat="1" ht="20.100000000000001" customHeight="1">
      <x:c r="A24" s="299"/>
      <x:c r="B24" s="3" t="s">
        <x:v>1241</x:v>
      </x:c>
      <x:c r="C24" s="3" t="s">
        <x:v>292</x:v>
      </x:c>
      <x:c r="D24" s="163">
        <x:v>27600000</x:v>
      </x:c>
      <x:c r="E24" s="209">
        <x:f>+D24*0.1</x:f>
        <x:v>2760000</x:v>
      </x:c>
      <x:c r="F24" s="5">
        <x:f t="shared" si="4"/>
        <x:v>30360000</x:v>
      </x:c>
      <x:c r="G24" s="6" t="s">
        <x:v>1540</x:v>
      </x:c>
      <x:c r="H24" s="299"/>
      <x:c r="I24" s="3"/>
      <x:c r="J24" s="3"/>
      <x:c r="K24" s="4"/>
      <x:c r="L24" s="4"/>
      <x:c r="M24" s="5">
        <x:f>+K24+L24</x:f>
        <x:v>0</x:v>
      </x:c>
      <x:c r="N24" s="6"/>
      <x:c r="V24" s="1"/>
    </x:row>
    <x:row r="25" spans="1:22" s="2" customFormat="1" ht="20.100000000000001" customHeight="1">
      <x:c r="A25" s="300"/>
      <x:c r="B25" s="3"/>
      <x:c r="C25" s="3"/>
      <x:c r="D25" s="163"/>
      <x:c r="E25" s="209"/>
      <x:c r="F25" s="5">
        <x:f t="shared" si="4"/>
        <x:v>0</x:v>
      </x:c>
      <x:c r="G25" s="6"/>
      <x:c r="H25" s="300"/>
      <x:c r="I25" s="3"/>
      <x:c r="J25" s="3"/>
      <x:c r="K25" s="4"/>
      <x:c r="L25" s="4"/>
      <x:c r="M25" s="5">
        <x:f t="shared" si="1"/>
        <x:v>0</x:v>
      </x:c>
      <x:c r="N25" s="6"/>
      <x:c r="V25" s="1"/>
    </x:row>
    <x:row r="26" spans="1:22" s="2" customFormat="1" ht="20.100000000000001" customHeight="1">
      <x:c r="A26" s="7" t="s">
        <x:v>155</x:v>
      </x:c>
      <x:c r="B26" s="8"/>
      <x:c r="C26" s="8"/>
      <x:c r="D26" s="80">
        <x:f>SUM(D20:D25)</x:f>
        <x:v>142990000</x:v>
      </x:c>
      <x:c r="E26" s="279">
        <x:f>SUM(E20:E25)</x:f>
        <x:v>3960000</x:v>
      </x:c>
      <x:c r="F26" s="10">
        <x:f>SUM(F20:F25)</x:f>
        <x:v>146950000</x:v>
      </x:c>
      <x:c r="G26" s="11"/>
      <x:c r="H26" s="7" t="s">
        <x:v>155</x:v>
      </x:c>
      <x:c r="I26" s="8"/>
      <x:c r="J26" s="8"/>
      <x:c r="K26" s="9">
        <x:f>SUM(K20:K25)</x:f>
        <x:v>77882000</x:v>
      </x:c>
      <x:c r="L26" s="9">
        <x:f>SUM(L20:L25)</x:f>
        <x:v>0</x:v>
      </x:c>
      <x:c r="M26" s="10">
        <x:f>SUM(M20:M25)</x:f>
        <x:v>77882000</x:v>
      </x:c>
      <x:c r="N26" s="11"/>
      <x:c r="V26" s="1"/>
    </x:row>
    <x:row r="27" spans="1:22" s="2" customFormat="1" ht="20.100000000000001" customHeight="1">
      <x:c r="A27" s="301" t="s">
        <x:v>187</x:v>
      </x:c>
      <x:c r="B27" s="3" t="s">
        <x:v>1321</x:v>
      </x:c>
      <x:c r="C27" s="3" t="s">
        <x:v>948</x:v>
      </x:c>
      <x:c r="D27" s="163">
        <x:v>1380000</x:v>
      </x:c>
      <x:c r="E27" s="209">
        <x:f>+D27*0.1</x:f>
        <x:v>138000</x:v>
      </x:c>
      <x:c r="F27" s="5">
        <x:f>+D27+E27</x:f>
        <x:v>1518000</x:v>
      </x:c>
      <x:c r="G27" s="6"/>
      <x:c r="H27" s="301" t="s">
        <x:v>187</x:v>
      </x:c>
      <x:c r="I27" s="3" t="s">
        <x:v>1461</x:v>
      </x:c>
      <x:c r="J27" s="3" t="s">
        <x:v>1006</x:v>
      </x:c>
      <x:c r="K27" s="4">
        <x:v>2990000</x:v>
      </x:c>
      <x:c r="L27" s="4">
        <x:f>+K27*0.1</x:f>
        <x:v>299000</x:v>
      </x:c>
      <x:c r="M27" s="5">
        <x:f>+K27+L27</x:f>
        <x:v>3289000</x:v>
      </x:c>
      <x:c r="N27" s="6"/>
      <x:c r="V27" s="1"/>
    </x:row>
    <x:row r="28" spans="1:22" s="2" customFormat="1" ht="20.100000000000001" customHeight="1">
      <x:c r="A28" s="299"/>
      <x:c r="B28" s="3" t="s">
        <x:v>436</x:v>
      </x:c>
      <x:c r="C28" s="3" t="s">
        <x:v>1390</x:v>
      </x:c>
      <x:c r="D28" s="163">
        <x:v>1148000</x:v>
      </x:c>
      <x:c r="E28" s="209">
        <x:f>+D28*0.1</x:f>
        <x:v>114800</x:v>
      </x:c>
      <x:c r="F28" s="5">
        <x:f>+D28+E28</x:f>
        <x:v>1262800</x:v>
      </x:c>
      <x:c r="G28" s="6"/>
      <x:c r="H28" s="299"/>
      <x:c r="I28" s="3" t="s">
        <x:v>524</x:v>
      </x:c>
      <x:c r="J28" s="3" t="s">
        <x:v>948</x:v>
      </x:c>
      <x:c r="K28" s="4">
        <x:v>60000</x:v>
      </x:c>
      <x:c r="L28" s="4">
        <x:f>+K28*0.1</x:f>
        <x:v>6000</x:v>
      </x:c>
      <x:c r="M28" s="5">
        <x:f>+K28+L28</x:f>
        <x:v>66000</x:v>
      </x:c>
      <x:c r="N28" s="6"/>
      <x:c r="V28" s="1"/>
    </x:row>
    <x:row r="29" spans="1:22" s="2" customFormat="1" ht="20.100000000000001" customHeight="1">
      <x:c r="A29" s="299"/>
      <x:c r="B29" s="3" t="s">
        <x:v>1387</x:v>
      </x:c>
      <x:c r="C29" s="3" t="s">
        <x:v>157</x:v>
      </x:c>
      <x:c r="D29" s="163"/>
      <x:c r="E29" s="209"/>
      <x:c r="F29" s="5">
        <x:f>+D29+E29</x:f>
        <x:v>0</x:v>
      </x:c>
      <x:c r="G29" s="6"/>
      <x:c r="H29" s="299"/>
      <x:c r="I29" s="3" t="s">
        <x:v>176</x:v>
      </x:c>
      <x:c r="J29" s="3" t="s">
        <x:v>1081</x:v>
      </x:c>
      <x:c r="K29" s="4"/>
      <x:c r="L29" s="4"/>
      <x:c r="M29" s="5">
        <x:f>+K29+L29</x:f>
        <x:v>0</x:v>
      </x:c>
      <x:c r="N29" s="6"/>
      <x:c r="V29" s="1"/>
    </x:row>
    <x:row r="30" spans="1:22" s="2" customFormat="1" ht="20.100000000000001" customHeight="1">
      <x:c r="A30" s="7" t="s">
        <x:v>155</x:v>
      </x:c>
      <x:c r="B30" s="8"/>
      <x:c r="C30" s="8"/>
      <x:c r="D30" s="80">
        <x:f>SUM(D27:D29)</x:f>
        <x:v>2528000</x:v>
      </x:c>
      <x:c r="E30" s="279">
        <x:f>SUM(E27:E29)</x:f>
        <x:v>252800</x:v>
      </x:c>
      <x:c r="F30" s="10">
        <x:f>SUM(F27:F29)</x:f>
        <x:v>2780800</x:v>
      </x:c>
      <x:c r="G30" s="11"/>
      <x:c r="H30" s="7" t="s">
        <x:v>155</x:v>
      </x:c>
      <x:c r="I30" s="8"/>
      <x:c r="J30" s="8"/>
      <x:c r="K30" s="9">
        <x:f>SUM(K27:K29)</x:f>
        <x:v>3050000</x:v>
      </x:c>
      <x:c r="L30" s="9">
        <x:f>SUM(L27:L29)</x:f>
        <x:v>305000</x:v>
      </x:c>
      <x:c r="M30" s="10">
        <x:f>SUM(M27:M29)</x:f>
        <x:v>3355000</x:v>
      </x:c>
      <x:c r="N30" s="11"/>
      <x:c r="V30" s="1"/>
    </x:row>
    <x:row r="31" spans="1:22" s="2" customFormat="1" ht="20.100000000000001" customHeight="1">
      <x:c r="A31" s="301" t="s">
        <x:v>149</x:v>
      </x:c>
      <x:c r="B31" s="3" t="s">
        <x:v>185</x:v>
      </x:c>
      <x:c r="C31" s="3" t="s">
        <x:v>149</x:v>
      </x:c>
      <x:c r="D31" s="163">
        <x:v>3971180</x:v>
      </x:c>
      <x:c r="E31" s="280"/>
      <x:c r="F31" s="5">
        <x:f>+D31+E31</x:f>
        <x:v>3971180</x:v>
      </x:c>
      <x:c r="G31" s="6"/>
      <x:c r="H31" s="301" t="s">
        <x:v>149</x:v>
      </x:c>
      <x:c r="I31" s="3" t="s">
        <x:v>248</x:v>
      </x:c>
      <x:c r="J31" s="3" t="s">
        <x:v>492</x:v>
      </x:c>
      <x:c r="K31" s="163">
        <x:v>540000</x:v>
      </x:c>
      <x:c r="L31" s="4"/>
      <x:c r="M31" s="5">
        <x:f>+K31+L31</x:f>
        <x:v>540000</x:v>
      </x:c>
      <x:c r="N31" s="6"/>
      <x:c r="V31" s="1"/>
    </x:row>
    <x:row r="32" spans="1:22" s="2" customFormat="1" ht="20.100000000000001" customHeight="1">
      <x:c r="A32" s="299"/>
      <x:c r="B32" s="3" t="s">
        <x:v>1274</x:v>
      </x:c>
      <x:c r="C32" s="3" t="s">
        <x:v>962</x:v>
      </x:c>
      <x:c r="D32" s="163">
        <x:v>894545</x:v>
      </x:c>
      <x:c r="E32" s="209">
        <x:f>+INT(D32*0.1)+1</x:f>
        <x:v>89455</x:v>
      </x:c>
      <x:c r="F32" s="5">
        <x:f>+D32+E32</x:f>
        <x:v>984000</x:v>
      </x:c>
      <x:c r="G32" s="6"/>
      <x:c r="H32" s="299"/>
      <x:c r="I32" s="3" t="s">
        <x:v>284</x:v>
      </x:c>
      <x:c r="J32" s="3" t="s">
        <x:v>492</x:v>
      </x:c>
      <x:c r="K32" s="163">
        <x:v>471120</x:v>
      </x:c>
      <x:c r="L32" s="4"/>
      <x:c r="M32" s="5">
        <x:f t="shared" ref="M32:M33" si="5">+K32+L32</x:f>
        <x:v>471120</x:v>
      </x:c>
      <x:c r="N32" s="6"/>
      <x:c r="V32" s="1"/>
    </x:row>
    <x:row r="33" spans="1:22" s="2" customFormat="1" ht="20.100000000000001" customHeight="1">
      <x:c r="A33" s="299"/>
      <x:c r="B33" s="3" t="s">
        <x:v>1313</x:v>
      </x:c>
      <x:c r="C33" s="3" t="s">
        <x:v>825</x:v>
      </x:c>
      <x:c r="D33" s="163">
        <x:v>1912000</x:v>
      </x:c>
      <x:c r="E33" s="209">
        <x:f>+D33*0.1</x:f>
        <x:v>191200</x:v>
      </x:c>
      <x:c r="F33" s="5">
        <x:f t="shared" ref="F33:F43" si="6">+D33+E33</x:f>
        <x:v>2103200</x:v>
      </x:c>
      <x:c r="G33" s="6"/>
      <x:c r="H33" s="299"/>
      <x:c r="I33" s="3" t="s">
        <x:v>296</x:v>
      </x:c>
      <x:c r="J33" s="3" t="s">
        <x:v>492</x:v>
      </x:c>
      <x:c r="K33" s="163">
        <x:v>596000</x:v>
      </x:c>
      <x:c r="L33" s="4"/>
      <x:c r="M33" s="5">
        <x:f t="shared" si="5"/>
        <x:v>596000</x:v>
      </x:c>
      <x:c r="N33" s="6"/>
      <x:c r="V33" s="1"/>
    </x:row>
    <x:row r="34" spans="1:22" s="2" customFormat="1" ht="20.100000000000001" customHeight="1">
      <x:c r="A34" s="299"/>
      <x:c r="B34" s="3" t="s">
        <x:v>994</x:v>
      </x:c>
      <x:c r="C34" s="3" t="s">
        <x:v>8</x:v>
      </x:c>
      <x:c r="D34" s="163">
        <x:v>420001</x:v>
      </x:c>
      <x:c r="E34" s="209">
        <x:v>41999</x:v>
      </x:c>
      <x:c r="F34" s="5">
        <x:f t="shared" si="6"/>
        <x:v>462000</x:v>
      </x:c>
      <x:c r="G34" s="6"/>
      <x:c r="H34" s="299"/>
      <x:c r="I34" s="3" t="s">
        <x:v>249</x:v>
      </x:c>
      <x:c r="J34" s="3" t="s">
        <x:v>608</x:v>
      </x:c>
      <x:c r="K34" s="163">
        <x:v>550000</x:v>
      </x:c>
      <x:c r="L34" s="4"/>
      <x:c r="M34" s="5">
        <x:f t="shared" ref="M34:M42" si="7">+K34+L34</x:f>
        <x:v>550000</x:v>
      </x:c>
      <x:c r="N34" s="6"/>
      <x:c r="V34" s="1"/>
    </x:row>
    <x:row r="35" spans="1:22" s="2" customFormat="1" ht="20.100000000000001" customHeight="1">
      <x:c r="A35" s="299"/>
      <x:c r="B35" s="3" t="s">
        <x:v>1680</x:v>
      </x:c>
      <x:c r="C35" s="3" t="s">
        <x:v>1695</x:v>
      </x:c>
      <x:c r="D35" s="163">
        <x:v>100000</x:v>
      </x:c>
      <x:c r="E35" s="209">
        <x:f>+D35*0.1</x:f>
        <x:v>10000</x:v>
      </x:c>
      <x:c r="F35" s="5">
        <x:f t="shared" si="6"/>
        <x:v>110000</x:v>
      </x:c>
      <x:c r="G35" s="6"/>
      <x:c r="H35" s="299"/>
      <x:c r="I35" s="3" t="s">
        <x:v>262</x:v>
      </x:c>
      <x:c r="J35" s="3" t="s">
        <x:v>530</x:v>
      </x:c>
      <x:c r="K35" s="163">
        <x:v>550000</x:v>
      </x:c>
      <x:c r="L35" s="4"/>
      <x:c r="M35" s="5">
        <x:f t="shared" si="7"/>
        <x:v>550000</x:v>
      </x:c>
      <x:c r="N35" s="6"/>
      <x:c r="V35" s="1"/>
    </x:row>
    <x:row r="36" spans="1:22" s="2" customFormat="1" ht="20.100000000000001" customHeight="1">
      <x:c r="A36" s="299"/>
      <x:c r="B36" s="3" t="s">
        <x:v>247</x:v>
      </x:c>
      <x:c r="C36" s="3" t="s">
        <x:v>231</x:v>
      </x:c>
      <x:c r="D36" s="163">
        <x:v>23500</x:v>
      </x:c>
      <x:c r="E36" s="209">
        <x:v>2350</x:v>
      </x:c>
      <x:c r="F36" s="5">
        <x:f t="shared" si="6"/>
        <x:v>25850</x:v>
      </x:c>
      <x:c r="G36" s="146" t="s">
        <x:v>1451</x:v>
      </x:c>
      <x:c r="H36" s="299"/>
      <x:c r="I36" s="3" t="s">
        <x:v>289</x:v>
      </x:c>
      <x:c r="J36" s="3" t="s">
        <x:v>608</x:v>
      </x:c>
      <x:c r="K36" s="163">
        <x:v>580000</x:v>
      </x:c>
      <x:c r="L36" s="4"/>
      <x:c r="M36" s="5">
        <x:f t="shared" si="7"/>
        <x:v>580000</x:v>
      </x:c>
      <x:c r="N36" s="6"/>
      <x:c r="V36" s="1"/>
    </x:row>
    <x:row r="37" spans="1:22" s="2" customFormat="1" ht="20.100000000000001" customHeight="1">
      <x:c r="A37" s="299"/>
      <x:c r="B37" s="3" t="s">
        <x:v>1304</x:v>
      </x:c>
      <x:c r="C37" s="3" t="s">
        <x:v>167</x:v>
      </x:c>
      <x:c r="D37" s="163"/>
      <x:c r="E37" s="209">
        <x:f>+D37*0.1</x:f>
        <x:v>0</x:v>
      </x:c>
      <x:c r="F37" s="5">
        <x:f t="shared" si="6"/>
        <x:v>0</x:v>
      </x:c>
      <x:c r="G37" s="146"/>
      <x:c r="H37" s="299"/>
      <x:c r="I37" s="3" t="s">
        <x:v>947</x:v>
      </x:c>
      <x:c r="J37" s="3" t="s">
        <x:v>914</x:v>
      </x:c>
      <x:c r="K37" s="163">
        <x:v>100000</x:v>
      </x:c>
      <x:c r="L37" s="4">
        <x:f>+K37*0.1</x:f>
        <x:v>10000</x:v>
      </x:c>
      <x:c r="M37" s="5">
        <x:f t="shared" si="7"/>
        <x:v>110000</x:v>
      </x:c>
      <x:c r="N37" s="6"/>
      <x:c r="V37" s="1"/>
    </x:row>
    <x:row r="38" spans="1:22" s="2" customFormat="1" ht="20.100000000000001" customHeight="1">
      <x:c r="A38" s="299"/>
      <x:c r="B38" s="3" t="s">
        <x:v>238</x:v>
      </x:c>
      <x:c r="C38" s="3" t="s">
        <x:v>405</x:v>
      </x:c>
      <x:c r="D38" s="4">
        <x:v>420000</x:v>
      </x:c>
      <x:c r="E38" s="209"/>
      <x:c r="F38" s="5">
        <x:f t="shared" si="6"/>
        <x:v>420000</x:v>
      </x:c>
      <x:c r="G38" s="146" t="s">
        <x:v>185</x:v>
      </x:c>
      <x:c r="H38" s="299"/>
      <x:c r="I38" s="3" t="s">
        <x:v>883</x:v>
      </x:c>
      <x:c r="J38" s="3" t="s">
        <x:v>1417</x:v>
      </x:c>
      <x:c r="K38" s="163">
        <x:v>200000</x:v>
      </x:c>
      <x:c r="L38" s="4">
        <x:f>+K38*0.1</x:f>
        <x:v>20000</x:v>
      </x:c>
      <x:c r="M38" s="5">
        <x:f t="shared" si="7"/>
        <x:v>220000</x:v>
      </x:c>
      <x:c r="N38" s="6" t="s">
        <x:v>1431</x:v>
      </x:c>
      <x:c r="V38" s="1"/>
    </x:row>
    <x:row r="39" spans="1:22" s="2" customFormat="1" ht="20.100000000000001" customHeight="1">
      <x:c r="A39" s="299"/>
      <x:c r="B39" s="3" t="s">
        <x:v>270</x:v>
      </x:c>
      <x:c r="C39" s="3" t="s">
        <x:v>134</x:v>
      </x:c>
      <x:c r="D39" s="4">
        <x:v>290000</x:v>
      </x:c>
      <x:c r="E39" s="209"/>
      <x:c r="F39" s="5">
        <x:f t="shared" si="6"/>
        <x:v>290000</x:v>
      </x:c>
      <x:c r="G39" s="146"/>
      <x:c r="H39" s="299"/>
      <x:c r="I39" s="3" t="s">
        <x:v>1340</x:v>
      </x:c>
      <x:c r="J39" s="3" t="s">
        <x:v>28</x:v>
      </x:c>
      <x:c r="K39" s="163">
        <x:v>2359500</x:v>
      </x:c>
      <x:c r="L39" s="4">
        <x:f>+K39*0.1</x:f>
        <x:v>235950</x:v>
      </x:c>
      <x:c r="M39" s="5">
        <x:f t="shared" si="7"/>
        <x:v>2595450</x:v>
      </x:c>
      <x:c r="N39" s="6"/>
      <x:c r="V39" s="1"/>
    </x:row>
    <x:row r="40" spans="1:22" s="2" customFormat="1" ht="20.100000000000001" customHeight="1">
      <x:c r="A40" s="299"/>
      <x:c r="B40" s="3" t="s">
        <x:v>926</x:v>
      </x:c>
      <x:c r="C40" s="3" t="s">
        <x:v>404</x:v>
      </x:c>
      <x:c r="D40" s="163">
        <x:v>385340</x:v>
      </x:c>
      <x:c r="E40" s="209"/>
      <x:c r="F40" s="5">
        <x:f t="shared" si="6"/>
        <x:v>385340</x:v>
      </x:c>
      <x:c r="G40" s="6" t="s">
        <x:v>577</x:v>
      </x:c>
      <x:c r="H40" s="299"/>
      <x:c r="I40" s="3" t="s">
        <x:v>1513</x:v>
      </x:c>
      <x:c r="J40" s="3" t="s">
        <x:v>825</x:v>
      </x:c>
      <x:c r="K40" s="163">
        <x:v>1363000</x:v>
      </x:c>
      <x:c r="L40" s="4">
        <x:f>+K40*0.1</x:f>
        <x:v>136300</x:v>
      </x:c>
      <x:c r="M40" s="5">
        <x:f t="shared" si="7"/>
        <x:v>1499300</x:v>
      </x:c>
      <x:c r="N40" s="6" t="s">
        <x:v>1546</x:v>
      </x:c>
      <x:c r="V40" s="1"/>
    </x:row>
    <x:row r="41" spans="1:22" s="2" customFormat="1" ht="20.100000000000001" customHeight="1">
      <x:c r="A41" s="299"/>
      <x:c r="B41" s="3"/>
      <x:c r="C41" s="3"/>
      <x:c r="D41" s="163"/>
      <x:c r="E41" s="209"/>
      <x:c r="F41" s="5">
        <x:f>+D41+E41</x:f>
        <x:v>0</x:v>
      </x:c>
      <x:c r="G41" s="6"/>
      <x:c r="H41" s="299"/>
      <x:c r="I41" s="3" t="s">
        <x:v>247</x:v>
      </x:c>
      <x:c r="J41" s="3" t="s">
        <x:v>231</x:v>
      </x:c>
      <x:c r="K41" s="163">
        <x:v>26348</x:v>
      </x:c>
      <x:c r="L41" s="4">
        <x:v>2634</x:v>
      </x:c>
      <x:c r="M41" s="5">
        <x:f t="shared" si="7"/>
        <x:v>28982</x:v>
      </x:c>
      <x:c r="N41" s="6" t="s">
        <x:v>1451</x:v>
      </x:c>
      <x:c r="V41" s="1"/>
    </x:row>
    <x:row r="42" spans="1:22" s="2" customFormat="1" ht="20.100000000000001" customHeight="1">
      <x:c r="A42" s="299"/>
      <x:c r="B42" s="3"/>
      <x:c r="C42" s="3"/>
      <x:c r="D42" s="163"/>
      <x:c r="E42" s="209"/>
      <x:c r="F42" s="5"/>
      <x:c r="G42" s="6"/>
      <x:c r="H42" s="299"/>
      <x:c r="I42" s="3" t="s">
        <x:v>926</x:v>
      </x:c>
      <x:c r="J42" s="3" t="s">
        <x:v>404</x:v>
      </x:c>
      <x:c r="K42" s="163"/>
      <x:c r="L42" s="4"/>
      <x:c r="M42" s="5">
        <x:f t="shared" si="7"/>
        <x:v>0</x:v>
      </x:c>
      <x:c r="N42" s="6" t="s">
        <x:v>578</x:v>
      </x:c>
      <x:c r="V42" s="1"/>
    </x:row>
    <x:row r="43" spans="1:22" s="2" customFormat="1" ht="20.100000000000001" customHeight="1">
      <x:c r="A43" s="300"/>
      <x:c r="B43" s="3"/>
      <x:c r="C43" s="3"/>
      <x:c r="D43" s="163"/>
      <x:c r="E43" s="209"/>
      <x:c r="F43" s="5">
        <x:f t="shared" si="6"/>
        <x:v>0</x:v>
      </x:c>
      <x:c r="G43" s="6"/>
      <x:c r="H43" s="300"/>
      <x:c r="I43" s="3" t="s">
        <x:v>1429</x:v>
      </x:c>
      <x:c r="J43" s="3" t="s">
        <x:v>167</x:v>
      </x:c>
      <x:c r="K43" s="163"/>
      <x:c r="L43" s="4"/>
      <x:c r="M43" s="5"/>
      <x:c r="N43" s="6"/>
      <x:c r="V43" s="1"/>
    </x:row>
    <x:row r="44" spans="1:22" s="2" customFormat="1" ht="20.100000000000001" customHeight="1">
      <x:c r="A44" s="7" t="s">
        <x:v>155</x:v>
      </x:c>
      <x:c r="B44" s="8"/>
      <x:c r="C44" s="8"/>
      <x:c r="D44" s="9">
        <x:f>SUM(D31:D43)</x:f>
        <x:v>8416566</x:v>
      </x:c>
      <x:c r="E44" s="9">
        <x:f>SUM(E31:E43)</x:f>
        <x:v>335004</x:v>
      </x:c>
      <x:c r="F44" s="10">
        <x:f>SUM(F31:F43)</x:f>
        <x:v>8751570</x:v>
      </x:c>
      <x:c r="G44" s="11"/>
      <x:c r="H44" s="7" t="s">
        <x:v>155</x:v>
      </x:c>
      <x:c r="I44" s="8"/>
      <x:c r="J44" s="8"/>
      <x:c r="K44" s="9">
        <x:f>SUM(K31:K43)</x:f>
        <x:v>7335968</x:v>
      </x:c>
      <x:c r="L44" s="9">
        <x:f>SUM(L31:L43)</x:f>
        <x:v>404884</x:v>
      </x:c>
      <x:c r="M44" s="10">
        <x:f>SUM(M31:M43)</x:f>
        <x:v>7740852</x:v>
      </x:c>
      <x:c r="N44" s="11"/>
      <x:c r="V44" s="1"/>
    </x:row>
    <x:row r="45" spans="1:22" s="2" customFormat="1" ht="20.100000000000001" customHeight="1">
      <x:c r="A45" s="12" t="s">
        <x:v>1690</x:v>
      </x:c>
      <x:c r="B45" s="13"/>
      <x:c r="C45" s="13"/>
      <x:c r="D45" s="14">
        <x:f>+D19+D26+D30+D44</x:f>
        <x:v>869419285</x:v>
      </x:c>
      <x:c r="E45" s="14">
        <x:f>+E19+E26+E30+E44</x:f>
        <x:v>76096276</x:v>
      </x:c>
      <x:c r="F45" s="15">
        <x:f>+F19+F26+F30+F44</x:f>
        <x:v>945515561</x:v>
      </x:c>
      <x:c r="G45" s="16"/>
      <x:c r="H45" s="12" t="s">
        <x:v>1690</x:v>
      </x:c>
      <x:c r="I45" s="13"/>
      <x:c r="J45" s="13"/>
      <x:c r="K45" s="14">
        <x:f>+K19+K26+K30+K44</x:f>
        <x:v>534970851</x:v>
      </x:c>
      <x:c r="L45" s="14">
        <x:f>+L19+L26+L30+L44</x:f>
        <x:v>45380172</x:v>
      </x:c>
      <x:c r="M45" s="15">
        <x:f>+M19+M26+M30+M44</x:f>
        <x:v>580351023</x:v>
      </x:c>
      <x:c r="N45" s="16"/>
      <x:c r="V45" s="1"/>
    </x:row>
    <x:row r="46" spans="1:22" s="2" customFormat="1" ht="20.100000000000001" customHeight="1">
      <x:c r="A46" s="23" t="s">
        <x:v>35</x:v>
      </x:c>
      <x:c r="B46" s="24"/>
      <x:c r="C46" s="24"/>
      <x:c r="D46" s="25">
        <x:f>+D4-D45</x:f>
        <x:v>-87419285</x:v>
      </x:c>
      <x:c r="E46" s="25">
        <x:f>+E4-E45</x:f>
        <x:v>-51896276</x:v>
      </x:c>
      <x:c r="F46" s="26">
        <x:f>+F4-F45</x:f>
        <x:v>-139315561</x:v>
      </x:c>
      <x:c r="G46" s="27"/>
      <x:c r="H46" s="23" t="s">
        <x:v>35</x:v>
      </x:c>
      <x:c r="I46" s="24"/>
      <x:c r="J46" s="24"/>
      <x:c r="K46" s="25">
        <x:f>+K4-K45</x:f>
        <x:v>-401470851</x:v>
      </x:c>
      <x:c r="L46" s="25">
        <x:f>+L4-L45</x:f>
        <x:v>-32030172</x:v>
      </x:c>
      <x:c r="M46" s="26">
        <x:f>+M4-M45</x:f>
        <x:v>-433501023</x:v>
      </x:c>
      <x:c r="N46" s="27"/>
      <x:c r="V46" s="1"/>
    </x:row>
    <x:row r="47" spans="1:22" s="2" customFormat="1" ht="20.100000000000001" customHeight="1">
      <x:c r="A47" s="302" t="s">
        <x:v>410</x:v>
      </x:c>
      <x:c r="B47" s="303"/>
      <x:c r="C47" s="303"/>
      <x:c r="D47" s="303"/>
      <x:c r="E47" s="303"/>
      <x:c r="F47" s="304"/>
      <x:c r="G47" s="305"/>
      <x:c r="H47" s="302" t="s">
        <x:v>466</x:v>
      </x:c>
      <x:c r="I47" s="303"/>
      <x:c r="J47" s="303"/>
      <x:c r="K47" s="303"/>
      <x:c r="L47" s="303"/>
      <x:c r="M47" s="304"/>
      <x:c r="N47" s="305"/>
      <x:c r="V47" s="1"/>
    </x:row>
    <x:row r="48" spans="1:22" s="2" customFormat="1" ht="20.100000000000001" customHeight="1">
      <x:c r="A48" s="29" t="s">
        <x:v>147</x:v>
      </x:c>
      <x:c r="B48" s="266" t="s">
        <x:v>144</x:v>
      </x:c>
      <x:c r="C48" s="266" t="s">
        <x:v>150</x:v>
      </x:c>
      <x:c r="D48" s="31" t="s">
        <x:v>145</x:v>
      </x:c>
      <x:c r="E48" s="31" t="s">
        <x:v>152</x:v>
      </x:c>
      <x:c r="F48" s="31" t="s">
        <x:v>146</x:v>
      </x:c>
      <x:c r="G48" s="34" t="s">
        <x:v>154</x:v>
      </x:c>
      <x:c r="H48" s="29" t="s">
        <x:v>147</x:v>
      </x:c>
      <x:c r="I48" s="266" t="s">
        <x:v>144</x:v>
      </x:c>
      <x:c r="J48" s="266" t="s">
        <x:v>150</x:v>
      </x:c>
      <x:c r="K48" s="31" t="s">
        <x:v>145</x:v>
      </x:c>
      <x:c r="L48" s="31" t="s">
        <x:v>152</x:v>
      </x:c>
      <x:c r="M48" s="32" t="s">
        <x:v>146</x:v>
      </x:c>
      <x:c r="N48" s="33" t="s">
        <x:v>154</x:v>
      </x:c>
      <x:c r="V48" s="1"/>
    </x:row>
    <x:row r="49" spans="1:22" s="2" customFormat="1" ht="20.100000000000001" customHeight="1">
      <x:c r="A49" s="41" t="s">
        <x:v>151</x:v>
      </x:c>
      <x:c r="B49" s="149" t="s">
        <x:v>1679</x:v>
      </x:c>
      <x:c r="C49" s="149" t="s">
        <x:v>488</x:v>
      </x:c>
      <x:c r="D49" s="150">
        <x:v>39000000</x:v>
      </x:c>
      <x:c r="E49" s="150">
        <x:f t="shared" ref="E49:E55" si="8">+D49*0.1</x:f>
        <x:v>3900000</x:v>
      </x:c>
      <x:c r="F49" s="40">
        <x:f>+D49+E49</x:f>
        <x:v>42900000</x:v>
      </x:c>
      <x:c r="G49" s="42" t="s">
        <x:v>432</x:v>
      </x:c>
      <x:c r="H49" s="265" t="s">
        <x:v>151</x:v>
      </x:c>
      <x:c r="I49" s="38" t="s">
        <x:v>1679</x:v>
      </x:c>
      <x:c r="J49" s="38" t="s">
        <x:v>791</x:v>
      </x:c>
      <x:c r="K49" s="39">
        <x:f>34000000+1567260</x:f>
        <x:v>35567260</x:v>
      </x:c>
      <x:c r="L49" s="39">
        <x:f>+K49*0.1</x:f>
        <x:v>3556726</x:v>
      </x:c>
      <x:c r="M49" s="40">
        <x:f t="shared" ref="M49:M56" si="9">+K49+L49</x:f>
        <x:v>39123986</x:v>
      </x:c>
      <x:c r="N49" s="18" t="s">
        <x:v>582</x:v>
      </x:c>
      <x:c r="V49" s="1"/>
    </x:row>
    <x:row r="50" spans="1:22" s="2" customFormat="1" ht="20.100000000000001" customHeight="1">
      <x:c r="A50" s="298" t="s">
        <x:v>148</x:v>
      </x:c>
      <x:c r="B50" s="267" t="s">
        <x:v>867</x:v>
      </x:c>
      <x:c r="C50" s="129" t="s">
        <x:v>369</x:v>
      </x:c>
      <x:c r="D50" s="268">
        <x:v>11690660</x:v>
      </x:c>
      <x:c r="E50" s="268">
        <x:f t="shared" si="8"/>
        <x:v>1169066</x:v>
      </x:c>
      <x:c r="F50" s="274">
        <x:f t="shared" ref="F50:F55" si="10">+D50+E50</x:f>
        <x:v>12859726</x:v>
      </x:c>
      <x:c r="G50" s="275"/>
      <x:c r="H50" s="298" t="s">
        <x:v>148</x:v>
      </x:c>
      <x:c r="I50" s="211" t="s">
        <x:v>774</x:v>
      </x:c>
      <x:c r="J50" s="211" t="s">
        <x:v>1645</x:v>
      </x:c>
      <x:c r="K50" s="228">
        <x:v>850000</x:v>
      </x:c>
      <x:c r="L50" s="228">
        <x:f t="shared" ref="L50:L57" si="11">+K50*0.1</x:f>
        <x:v>85000</x:v>
      </x:c>
      <x:c r="M50" s="251">
        <x:f t="shared" si="9"/>
        <x:v>935000</x:v>
      </x:c>
      <x:c r="N50" s="273"/>
      <x:c r="V50" s="1"/>
    </x:row>
    <x:row r="51" spans="1:22" s="2" customFormat="1" ht="20.100000000000001" customHeight="1">
      <x:c r="A51" s="299"/>
      <x:c r="B51" s="267" t="s">
        <x:v>1443</x:v>
      </x:c>
      <x:c r="C51" s="129" t="s">
        <x:v>179</x:v>
      </x:c>
      <x:c r="D51" s="268">
        <x:v>1079000</x:v>
      </x:c>
      <x:c r="E51" s="269">
        <x:f t="shared" ref="E51:E52" si="12">+D51*0.1</x:f>
        <x:v>107900</x:v>
      </x:c>
      <x:c r="F51" s="130">
        <x:f t="shared" ref="F51:F52" si="13">+D51+E51</x:f>
        <x:v>1186900</x:v>
      </x:c>
      <x:c r="G51" s="276" t="s">
        <x:v>1532</x:v>
      </x:c>
      <x:c r="H51" s="299"/>
      <x:c r="I51" s="162"/>
      <x:c r="J51" s="262"/>
      <x:c r="K51" s="163"/>
      <x:c r="L51" s="163">
        <x:f t="shared" si="11"/>
        <x:v>0</x:v>
      </x:c>
      <x:c r="M51" s="164">
        <x:f t="shared" si="9"/>
        <x:v>0</x:v>
      </x:c>
      <x:c r="N51" s="180"/>
      <x:c r="V51" s="1"/>
    </x:row>
    <x:row r="52" spans="1:22" s="2" customFormat="1" ht="20.100000000000001" customHeight="1">
      <x:c r="A52" s="299"/>
      <x:c r="B52" s="129" t="s">
        <x:v>1348</x:v>
      </x:c>
      <x:c r="C52" s="262" t="s">
        <x:v>1817</x:v>
      </x:c>
      <x:c r="D52" s="227">
        <x:v>1008050</x:v>
      </x:c>
      <x:c r="E52" s="227">
        <x:f t="shared" si="12"/>
        <x:v>100805</x:v>
      </x:c>
      <x:c r="F52" s="271">
        <x:f t="shared" si="13"/>
        <x:v>1108855</x:v>
      </x:c>
      <x:c r="G52" s="272"/>
      <x:c r="H52" s="299"/>
      <x:c r="I52" s="162"/>
      <x:c r="J52" s="262"/>
      <x:c r="K52" s="163"/>
      <x:c r="L52" s="163">
        <x:f t="shared" si="11"/>
        <x:v>0</x:v>
      </x:c>
      <x:c r="M52" s="164">
        <x:f t="shared" si="9"/>
        <x:v>0</x:v>
      </x:c>
      <x:c r="N52" s="180"/>
      <x:c r="V52" s="1"/>
    </x:row>
    <x:row r="53" spans="1:22" s="2" customFormat="1" ht="20.100000000000001" customHeight="1">
      <x:c r="A53" s="299"/>
      <x:c r="B53" s="129" t="s">
        <x:v>864</x:v>
      </x:c>
      <x:c r="C53" s="129"/>
      <x:c r="D53" s="227"/>
      <x:c r="E53" s="130">
        <x:f t="shared" si="8"/>
        <x:v>0</x:v>
      </x:c>
      <x:c r="F53" s="131">
        <x:f t="shared" si="10"/>
        <x:v>0</x:v>
      </x:c>
      <x:c r="G53" s="132"/>
      <x:c r="H53" s="299"/>
      <x:c r="I53" s="162"/>
      <x:c r="J53" s="262"/>
      <x:c r="K53" s="163"/>
      <x:c r="L53" s="163">
        <x:f t="shared" si="11"/>
        <x:v>0</x:v>
      </x:c>
      <x:c r="M53" s="164">
        <x:f t="shared" si="9"/>
        <x:v>0</x:v>
      </x:c>
      <x:c r="N53" s="180"/>
      <x:c r="V53" s="1"/>
    </x:row>
    <x:row r="54" spans="1:22" s="2" customFormat="1" ht="20.100000000000001" customHeight="1">
      <x:c r="A54" s="299"/>
      <x:c r="B54" s="129" t="s">
        <x:v>1058</x:v>
      </x:c>
      <x:c r="C54" s="129"/>
      <x:c r="D54" s="227"/>
      <x:c r="E54" s="130">
        <x:f t="shared" si="8"/>
        <x:v>0</x:v>
      </x:c>
      <x:c r="F54" s="131">
        <x:f t="shared" si="10"/>
        <x:v>0</x:v>
      </x:c>
      <x:c r="G54" s="132"/>
      <x:c r="H54" s="299"/>
      <x:c r="I54" s="162"/>
      <x:c r="J54" s="262"/>
      <x:c r="K54" s="163"/>
      <x:c r="L54" s="163">
        <x:f t="shared" si="11"/>
        <x:v>0</x:v>
      </x:c>
      <x:c r="M54" s="164">
        <x:f t="shared" si="9"/>
        <x:v>0</x:v>
      </x:c>
      <x:c r="N54" s="180"/>
      <x:c r="V54" s="1"/>
    </x:row>
    <x:row r="55" spans="1:22" s="2" customFormat="1" ht="20.100000000000001" customHeight="1">
      <x:c r="A55" s="299"/>
      <x:c r="B55" s="129" t="s">
        <x:v>228</x:v>
      </x:c>
      <x:c r="C55" s="129" t="s">
        <x:v>1659</x:v>
      </x:c>
      <x:c r="D55" s="227">
        <x:v>4360000</x:v>
      </x:c>
      <x:c r="E55" s="227">
        <x:f t="shared" si="8"/>
        <x:v>436000</x:v>
      </x:c>
      <x:c r="F55" s="271">
        <x:f t="shared" si="10"/>
        <x:v>4796000</x:v>
      </x:c>
      <x:c r="G55" s="270"/>
      <x:c r="H55" s="299"/>
      <x:c r="I55" s="162"/>
      <x:c r="J55" s="262"/>
      <x:c r="K55" s="163"/>
      <x:c r="L55" s="163">
        <x:f t="shared" si="11"/>
        <x:v>0</x:v>
      </x:c>
      <x:c r="M55" s="164">
        <x:f t="shared" si="9"/>
        <x:v>0</x:v>
      </x:c>
      <x:c r="N55" s="180"/>
      <x:c r="V55" s="1"/>
    </x:row>
    <x:row r="56" spans="1:22" s="2" customFormat="1" ht="20.100000000000001" customHeight="1">
      <x:c r="A56" s="299"/>
      <x:c r="B56" s="129" t="s">
        <x:v>854</x:v>
      </x:c>
      <x:c r="C56" s="129" t="s">
        <x:v>1704</x:v>
      </x:c>
      <x:c r="D56" s="227">
        <x:v>16840</x:v>
      </x:c>
      <x:c r="E56" s="130">
        <x:f>+D56*0.1</x:f>
        <x:v>1684</x:v>
      </x:c>
      <x:c r="F56" s="131">
        <x:f t="shared" ref="F56:F60" si="14">+D56+E56</x:f>
        <x:v>18524</x:v>
      </x:c>
      <x:c r="G56" s="132"/>
      <x:c r="H56" s="299"/>
      <x:c r="I56" s="162"/>
      <x:c r="J56" s="262"/>
      <x:c r="K56" s="163"/>
      <x:c r="L56" s="163">
        <x:f t="shared" si="11"/>
        <x:v>0</x:v>
      </x:c>
      <x:c r="M56" s="164">
        <x:f t="shared" si="9"/>
        <x:v>0</x:v>
      </x:c>
      <x:c r="N56" s="180"/>
      <x:c r="V56" s="1"/>
    </x:row>
    <x:row r="57" spans="1:22" s="2" customFormat="1" ht="20.100000000000001" customHeight="1">
      <x:c r="A57" s="299"/>
      <x:c r="B57" s="267" t="s">
        <x:v>1443</x:v>
      </x:c>
      <x:c r="C57" s="129" t="s">
        <x:v>179</x:v>
      </x:c>
      <x:c r="D57" s="227">
        <x:v>428500</x:v>
      </x:c>
      <x:c r="E57" s="130">
        <x:f>+D57*0.1</x:f>
        <x:v>42850</x:v>
      </x:c>
      <x:c r="F57" s="131">
        <x:f t="shared" si="14"/>
        <x:v>471350</x:v>
      </x:c>
      <x:c r="G57" s="132" t="s">
        <x:v>1520</x:v>
      </x:c>
      <x:c r="H57" s="299"/>
      <x:c r="I57" s="162"/>
      <x:c r="J57" s="262"/>
      <x:c r="K57" s="163"/>
      <x:c r="L57" s="163">
        <x:f t="shared" si="11"/>
        <x:v>0</x:v>
      </x:c>
      <x:c r="M57" s="164">
        <x:f>+K57+L57</x:f>
        <x:v>0</x:v>
      </x:c>
      <x:c r="N57" s="180"/>
      <x:c r="V57" s="1"/>
    </x:row>
    <x:row r="58" spans="1:22" s="2" customFormat="1" ht="20.100000000000001" customHeight="1">
      <x:c r="A58" s="299"/>
      <x:c r="B58" s="129" t="s">
        <x:v>1655</x:v>
      </x:c>
      <x:c r="C58" s="129" t="s">
        <x:v>1674</x:v>
      </x:c>
      <x:c r="D58" s="227">
        <x:v>7500000</x:v>
      </x:c>
      <x:c r="E58" s="130">
        <x:f>+D58*0.1</x:f>
        <x:v>750000</x:v>
      </x:c>
      <x:c r="F58" s="131">
        <x:f t="shared" si="14"/>
        <x:v>8250000</x:v>
      </x:c>
      <x:c r="G58" s="132"/>
      <x:c r="H58" s="299"/>
      <x:c r="I58" s="162"/>
      <x:c r="J58" s="262"/>
      <x:c r="K58" s="163"/>
      <x:c r="L58" s="163"/>
      <x:c r="M58" s="164">
        <x:f>+K58+L58</x:f>
        <x:v>0</x:v>
      </x:c>
      <x:c r="N58" s="180"/>
      <x:c r="V58" s="1"/>
    </x:row>
    <x:row r="59" spans="1:22" s="2" customFormat="1" ht="20.100000000000001" customHeight="1">
      <x:c r="A59" s="299"/>
      <x:c r="B59" s="129" t="s">
        <x:v>846</x:v>
      </x:c>
      <x:c r="C59" s="129" t="s">
        <x:v>1484</x:v>
      </x:c>
      <x:c r="D59" s="227">
        <x:v>829827</x:v>
      </x:c>
      <x:c r="E59" s="227">
        <x:f>+D59*0.1-1</x:f>
        <x:v>82981.700000000012</x:v>
      </x:c>
      <x:c r="F59" s="271">
        <x:f t="shared" si="14"/>
        <x:v>912808.69999999995</x:v>
      </x:c>
      <x:c r="G59" s="132"/>
      <x:c r="H59" s="299"/>
      <x:c r="I59" s="162"/>
      <x:c r="J59" s="262"/>
      <x:c r="K59" s="163"/>
      <x:c r="L59" s="163">
        <x:f>+K59*0.1</x:f>
        <x:v>0</x:v>
      </x:c>
      <x:c r="M59" s="164">
        <x:f>+K59+L59</x:f>
        <x:v>0</x:v>
      </x:c>
      <x:c r="N59" s="180"/>
      <x:c r="V59" s="1"/>
    </x:row>
    <x:row r="60" spans="1:22" s="2" customFormat="1" ht="20.100000000000001" customHeight="1">
      <x:c r="A60" s="299"/>
      <x:c r="B60" s="129" t="s">
        <x:v>838</x:v>
      </x:c>
      <x:c r="C60" s="129" t="s">
        <x:v>1189</x:v>
      </x:c>
      <x:c r="D60" s="227">
        <x:v>23080</x:v>
      </x:c>
      <x:c r="E60" s="227">
        <x:f>+D60*0.1</x:f>
        <x:v>2308</x:v>
      </x:c>
      <x:c r="F60" s="271">
        <x:f t="shared" si="14"/>
        <x:v>25388</x:v>
      </x:c>
      <x:c r="G60" s="270"/>
      <x:c r="H60" s="299"/>
      <x:c r="I60" s="162"/>
      <x:c r="J60" s="262"/>
      <x:c r="K60" s="163"/>
      <x:c r="L60" s="163"/>
      <x:c r="M60" s="164">
        <x:f>+K60+L60</x:f>
        <x:v>0</x:v>
      </x:c>
      <x:c r="N60" s="180"/>
      <x:c r="V60" s="1"/>
    </x:row>
    <x:row r="61" spans="1:22" s="2" customFormat="1" ht="20.100000000000001" customHeight="1">
      <x:c r="A61" s="299"/>
      <x:c r="B61" s="129" t="s">
        <x:v>1436</x:v>
      </x:c>
      <x:c r="C61" s="129" t="s">
        <x:v>581</x:v>
      </x:c>
      <x:c r="D61" s="227">
        <x:v>106764</x:v>
      </x:c>
      <x:c r="E61" s="227">
        <x:f>+D61*0.1</x:f>
        <x:v>10676.400000000001</x:v>
      </x:c>
      <x:c r="F61" s="271">
        <x:f>+D61+E61</x:f>
        <x:v>117440.39999999999</x:v>
      </x:c>
      <x:c r="G61" s="276" t="s">
        <x:v>1423</x:v>
      </x:c>
      <x:c r="H61" s="299"/>
      <x:c r="I61" s="162"/>
      <x:c r="J61" s="262"/>
      <x:c r="K61" s="163"/>
      <x:c r="L61" s="163">
        <x:f>+K61*0.1</x:f>
        <x:v>0</x:v>
      </x:c>
      <x:c r="M61" s="164">
        <x:f t="shared" ref="M61:M62" si="15">+K61+L61</x:f>
        <x:v>0</x:v>
      </x:c>
      <x:c r="N61" s="180"/>
      <x:c r="V61" s="1"/>
    </x:row>
    <x:row r="62" spans="1:22" s="2" customFormat="1" ht="20.100000000000001" customHeight="1">
      <x:c r="A62" s="299"/>
      <x:c r="B62" s="129"/>
      <x:c r="C62" s="129"/>
      <x:c r="D62" s="227"/>
      <x:c r="E62" s="227">
        <x:f>+D62*0.1</x:f>
        <x:v>0</x:v>
      </x:c>
      <x:c r="F62" s="271">
        <x:f>+D62+E62</x:f>
        <x:v>0</x:v>
      </x:c>
      <x:c r="G62" s="270"/>
      <x:c r="H62" s="299"/>
      <x:c r="I62" s="162"/>
      <x:c r="J62" s="262"/>
      <x:c r="K62" s="163"/>
      <x:c r="L62" s="163">
        <x:f>+K62*0.1</x:f>
        <x:v>0</x:v>
      </x:c>
      <x:c r="M62" s="164">
        <x:f t="shared" si="15"/>
        <x:v>0</x:v>
      </x:c>
      <x:c r="N62" s="180"/>
      <x:c r="V62" s="1"/>
    </x:row>
    <x:row r="63" spans="1:22" s="2" customFormat="1" ht="20.100000000000001" customHeight="1">
      <x:c r="A63" s="299"/>
      <x:c r="B63" s="267"/>
      <x:c r="C63" s="129"/>
      <x:c r="D63" s="227"/>
      <x:c r="E63" s="130"/>
      <x:c r="F63" s="131"/>
      <x:c r="G63" s="276"/>
      <x:c r="H63" s="299"/>
      <x:c r="I63" s="162"/>
      <x:c r="J63" s="162"/>
      <x:c r="K63" s="163"/>
      <x:c r="L63" s="163"/>
      <x:c r="M63" s="164"/>
      <x:c r="N63" s="180"/>
      <x:c r="V63" s="1"/>
    </x:row>
    <x:row r="64" spans="1:22" s="2" customFormat="1" ht="20.100000000000001" customHeight="1">
      <x:c r="A64" s="299"/>
      <x:c r="B64" s="129"/>
      <x:c r="C64" s="129"/>
      <x:c r="D64" s="227"/>
      <x:c r="E64" s="130"/>
      <x:c r="F64" s="131"/>
      <x:c r="G64" s="132"/>
      <x:c r="H64" s="299"/>
      <x:c r="I64" s="3"/>
      <x:c r="J64" s="3"/>
      <x:c r="K64" s="163"/>
      <x:c r="L64" s="4"/>
      <x:c r="M64" s="5"/>
      <x:c r="N64" s="6"/>
      <x:c r="V64" s="1"/>
    </x:row>
    <x:row r="65" spans="1:22" s="2" customFormat="1" ht="20.100000000000001" customHeight="1">
      <x:c r="A65" s="299"/>
      <x:c r="B65" s="129"/>
      <x:c r="C65" s="129"/>
      <x:c r="D65" s="227"/>
      <x:c r="E65" s="130"/>
      <x:c r="F65" s="131"/>
      <x:c r="G65" s="132"/>
      <x:c r="H65" s="299"/>
      <x:c r="I65" s="3"/>
      <x:c r="J65" s="3"/>
      <x:c r="K65" s="163"/>
      <x:c r="L65" s="4"/>
      <x:c r="M65" s="5"/>
      <x:c r="N65" s="6"/>
      <x:c r="V65" s="1"/>
    </x:row>
    <x:row r="66" spans="1:22" s="2" customFormat="1" ht="20.100000000000001" customHeight="1">
      <x:c r="A66" s="299"/>
      <x:c r="B66" s="129"/>
      <x:c r="C66" s="129"/>
      <x:c r="D66" s="227"/>
      <x:c r="E66" s="130">
        <x:f>+D66*0.1</x:f>
        <x:v>0</x:v>
      </x:c>
      <x:c r="F66" s="131">
        <x:f>+D66+E66</x:f>
        <x:v>0</x:v>
      </x:c>
      <x:c r="G66" s="132"/>
      <x:c r="H66" s="300"/>
      <x:c r="I66" s="3"/>
      <x:c r="J66" s="3"/>
      <x:c r="K66" s="163"/>
      <x:c r="L66" s="4"/>
      <x:c r="M66" s="5"/>
      <x:c r="N66" s="6"/>
      <x:c r="V66" s="1"/>
    </x:row>
    <x:row r="67" spans="1:22" s="2" customFormat="1" ht="20.100000000000001" customHeight="1">
      <x:c r="A67" s="7" t="s">
        <x:v>155</x:v>
      </x:c>
      <x:c r="B67" s="8"/>
      <x:c r="C67" s="8"/>
      <x:c r="D67" s="80">
        <x:f>SUM(D50:D66)</x:f>
        <x:v>27042721</x:v>
      </x:c>
      <x:c r="E67" s="9">
        <x:f>SUM(E50:E66)</x:f>
        <x:v>2704271.1000000001</x:v>
      </x:c>
      <x:c r="F67" s="10">
        <x:f>SUM(F50:F66)</x:f>
        <x:v>29746992.099999998</x:v>
      </x:c>
      <x:c r="G67" s="11"/>
      <x:c r="H67" s="7" t="s">
        <x:v>155</x:v>
      </x:c>
      <x:c r="I67" s="8"/>
      <x:c r="J67" s="8"/>
      <x:c r="K67" s="80">
        <x:f>SUM(K50:K66)</x:f>
        <x:v>850000</x:v>
      </x:c>
      <x:c r="L67" s="9">
        <x:f>SUM(L50:L66)</x:f>
        <x:v>85000</x:v>
      </x:c>
      <x:c r="M67" s="10">
        <x:f>SUM(M50:M66)</x:f>
        <x:v>935000</x:v>
      </x:c>
      <x:c r="N67" s="11"/>
      <x:c r="V67" s="1"/>
    </x:row>
    <x:row r="68" spans="1:22" s="2" customFormat="1" ht="20.100000000000001" customHeight="1">
      <x:c r="A68" s="301" t="s">
        <x:v>153</x:v>
      </x:c>
      <x:c r="B68" s="3" t="s">
        <x:v>1677</x:v>
      </x:c>
      <x:c r="C68" s="3" t="s">
        <x:v>1096</x:v>
      </x:c>
      <x:c r="D68" s="163">
        <x:v>33830000</x:v>
      </x:c>
      <x:c r="E68" s="4">
        <x:v>684000</x:v>
      </x:c>
      <x:c r="F68" s="5">
        <x:f>+D68+E68</x:f>
        <x:v>34514000</x:v>
      </x:c>
      <x:c r="G68" s="6" t="s">
        <x:v>1423</x:v>
      </x:c>
      <x:c r="H68" s="301" t="s">
        <x:v>153</x:v>
      </x:c>
      <x:c r="I68" s="3" t="s">
        <x:v>1677</x:v>
      </x:c>
      <x:c r="J68" s="3" t="s">
        <x:v>1096</x:v>
      </x:c>
      <x:c r="K68" s="163"/>
      <x:c r="L68" s="44"/>
      <x:c r="M68" s="45">
        <x:f>+K68+L68</x:f>
        <x:v>0</x:v>
      </x:c>
      <x:c r="N68" s="37"/>
      <x:c r="V68" s="1"/>
    </x:row>
    <x:row r="69" spans="1:22" s="2" customFormat="1" ht="20.100000000000001" customHeight="1">
      <x:c r="A69" s="299"/>
      <x:c r="B69" s="3" t="s">
        <x:v>584</x:v>
      </x:c>
      <x:c r="C69" s="129" t="s">
        <x:v>1604</x:v>
      </x:c>
      <x:c r="D69" s="242">
        <x:v>6265000</x:v>
      </x:c>
      <x:c r="E69" s="130"/>
      <x:c r="F69" s="131">
        <x:f>+D69+E69</x:f>
        <x:v>6265000</x:v>
      </x:c>
      <x:c r="G69" s="132" t="s">
        <x:v>1644</x:v>
      </x:c>
      <x:c r="H69" s="299"/>
      <x:c r="I69" s="3"/>
      <x:c r="J69" s="3"/>
      <x:c r="K69" s="163"/>
      <x:c r="L69" s="44"/>
      <x:c r="M69" s="45">
        <x:f>+K69+L69</x:f>
        <x:v>0</x:v>
      </x:c>
      <x:c r="N69" s="37"/>
      <x:c r="V69" s="1"/>
    </x:row>
    <x:row r="70" spans="1:22" s="2" customFormat="1" ht="20.100000000000001" customHeight="1">
      <x:c r="A70" s="299"/>
      <x:c r="B70" s="154" t="s">
        <x:v>1677</x:v>
      </x:c>
      <x:c r="C70" s="3" t="s">
        <x:v>128</x:v>
      </x:c>
      <x:c r="D70" s="156">
        <x:v>-6840000</x:v>
      </x:c>
      <x:c r="E70" s="156"/>
      <x:c r="F70" s="36">
        <x:f>+D70+E70</x:f>
        <x:v>-6840000</x:v>
      </x:c>
      <x:c r="G70" s="37" t="s">
        <x:v>583</x:v>
      </x:c>
      <x:c r="H70" s="299"/>
      <x:c r="I70" s="3"/>
      <x:c r="J70" s="3"/>
      <x:c r="K70" s="163"/>
      <x:c r="L70" s="4"/>
      <x:c r="M70" s="5">
        <x:f>+K70+L70</x:f>
        <x:v>0</x:v>
      </x:c>
      <x:c r="N70" s="6"/>
      <x:c r="V70" s="1"/>
    </x:row>
    <x:row r="71" spans="1:22" s="2" customFormat="1" ht="20.100000000000001" customHeight="1">
      <x:c r="A71" s="300"/>
      <x:c r="B71" s="154" t="s">
        <x:v>585</x:v>
      </x:c>
      <x:c r="C71" s="155" t="s">
        <x:v>286</x:v>
      </x:c>
      <x:c r="D71" s="156">
        <x:v>1500000</x:v>
      </x:c>
      <x:c r="E71" s="156"/>
      <x:c r="F71" s="157"/>
      <x:c r="G71" s="158" t="s">
        <x:v>1657</x:v>
      </x:c>
      <x:c r="H71" s="300"/>
      <x:c r="I71" s="3"/>
      <x:c r="J71" s="3"/>
      <x:c r="K71" s="163"/>
      <x:c r="L71" s="4"/>
      <x:c r="M71" s="5">
        <x:f>+K71+L71</x:f>
        <x:v>0</x:v>
      </x:c>
      <x:c r="N71" s="6"/>
      <x:c r="V71" s="1"/>
    </x:row>
    <x:row r="72" spans="1:22" s="2" customFormat="1" ht="20.100000000000001" customHeight="1">
      <x:c r="A72" s="7" t="s">
        <x:v>155</x:v>
      </x:c>
      <x:c r="B72" s="8"/>
      <x:c r="C72" s="8"/>
      <x:c r="D72" s="80">
        <x:f>SUM(D68:D71)</x:f>
        <x:v>34755000</x:v>
      </x:c>
      <x:c r="E72" s="9">
        <x:f>SUM(E68:E71)</x:f>
        <x:v>684000</x:v>
      </x:c>
      <x:c r="F72" s="10">
        <x:f>SUM(F68:F71)</x:f>
        <x:v>33939000</x:v>
      </x:c>
      <x:c r="G72" s="11"/>
      <x:c r="H72" s="7" t="s">
        <x:v>155</x:v>
      </x:c>
      <x:c r="I72" s="8"/>
      <x:c r="J72" s="8"/>
      <x:c r="K72" s="80">
        <x:f>SUM(K68:K71)</x:f>
        <x:v>0</x:v>
      </x:c>
      <x:c r="L72" s="9">
        <x:f>SUM(L68:L71)</x:f>
        <x:v>0</x:v>
      </x:c>
      <x:c r="M72" s="10">
        <x:f>SUM(M68:M71)</x:f>
        <x:v>0</x:v>
      </x:c>
      <x:c r="N72" s="11"/>
      <x:c r="V72" s="1"/>
    </x:row>
    <x:row r="73" spans="1:22" s="2" customFormat="1" ht="20.100000000000001" customHeight="1">
      <x:c r="A73" s="301" t="s">
        <x:v>187</x:v>
      </x:c>
      <x:c r="B73" s="3" t="s">
        <x:v>1124</x:v>
      </x:c>
      <x:c r="C73" s="3" t="s">
        <x:v>1006</x:v>
      </x:c>
      <x:c r="D73" s="163">
        <x:v>300000</x:v>
      </x:c>
      <x:c r="E73" s="4">
        <x:f>+D73*0.1</x:f>
        <x:v>30000</x:v>
      </x:c>
      <x:c r="F73" s="5">
        <x:f t="shared" ref="F73:F78" si="16">+D73+E73</x:f>
        <x:v>330000</x:v>
      </x:c>
      <x:c r="G73" s="6" t="s">
        <x:v>278</x:v>
      </x:c>
      <x:c r="H73" s="301" t="s">
        <x:v>187</x:v>
      </x:c>
      <x:c r="I73" s="3"/>
      <x:c r="J73" s="3"/>
      <x:c r="K73" s="163"/>
      <x:c r="L73" s="4">
        <x:f>+K73*0.1</x:f>
        <x:v>0</x:v>
      </x:c>
      <x:c r="M73" s="5">
        <x:f>+K73+L73</x:f>
        <x:v>0</x:v>
      </x:c>
      <x:c r="N73" s="6"/>
      <x:c r="V73" s="1"/>
    </x:row>
    <x:row r="74" spans="1:22" s="2" customFormat="1" ht="20.100000000000001" customHeight="1">
      <x:c r="A74" s="299"/>
      <x:c r="B74" s="178" t="s">
        <x:v>307</x:v>
      </x:c>
      <x:c r="C74" s="163" t="s">
        <x:v>1478</x:v>
      </x:c>
      <x:c r="D74" s="163">
        <x:v>1200000</x:v>
      </x:c>
      <x:c r="E74" s="4">
        <x:f>+D74*0.1</x:f>
        <x:v>120000</x:v>
      </x:c>
      <x:c r="F74" s="5">
        <x:f t="shared" si="16"/>
        <x:v>1320000</x:v>
      </x:c>
      <x:c r="G74" s="6" t="s">
        <x:v>1423</x:v>
      </x:c>
      <x:c r="H74" s="299"/>
      <x:c r="I74" s="3"/>
      <x:c r="J74" s="3"/>
      <x:c r="K74" s="163"/>
      <x:c r="L74" s="4">
        <x:f>+K74*0.1</x:f>
        <x:v>0</x:v>
      </x:c>
      <x:c r="M74" s="5">
        <x:f>+K74+L74</x:f>
        <x:v>0</x:v>
      </x:c>
      <x:c r="N74" s="6"/>
      <x:c r="V74" s="1"/>
    </x:row>
    <x:row r="75" spans="1:22" s="2" customFormat="1" ht="20.100000000000001" customHeight="1">
      <x:c r="A75" s="299"/>
      <x:c r="B75" s="3"/>
      <x:c r="C75" s="3"/>
      <x:c r="D75" s="163"/>
      <x:c r="E75" s="4">
        <x:f>+D75*0.1</x:f>
        <x:v>0</x:v>
      </x:c>
      <x:c r="F75" s="5">
        <x:f t="shared" si="16"/>
        <x:v>0</x:v>
      </x:c>
      <x:c r="G75" s="6"/>
      <x:c r="H75" s="299"/>
      <x:c r="I75" s="3"/>
      <x:c r="J75" s="3"/>
      <x:c r="K75" s="163"/>
      <x:c r="L75" s="4">
        <x:f>+K75*0.1</x:f>
        <x:v>0</x:v>
      </x:c>
      <x:c r="M75" s="5">
        <x:f>+K75+L75</x:f>
        <x:v>0</x:v>
      </x:c>
      <x:c r="N75" s="6"/>
      <x:c r="V75" s="1"/>
    </x:row>
    <x:row r="76" spans="1:22" s="2" customFormat="1" ht="20.100000000000001" customHeight="1">
      <x:c r="A76" s="299"/>
      <x:c r="B76" s="3"/>
      <x:c r="C76" s="163"/>
      <x:c r="D76" s="163"/>
      <x:c r="E76" s="4">
        <x:f>+D76*0.1</x:f>
        <x:v>0</x:v>
      </x:c>
      <x:c r="F76" s="5">
        <x:f t="shared" si="16"/>
        <x:v>0</x:v>
      </x:c>
      <x:c r="G76" s="6"/>
      <x:c r="H76" s="299"/>
      <x:c r="I76" s="3"/>
      <x:c r="J76" s="3"/>
      <x:c r="K76" s="163"/>
      <x:c r="L76" s="4"/>
      <x:c r="M76" s="5"/>
      <x:c r="N76" s="6"/>
      <x:c r="V76" s="1"/>
    </x:row>
    <x:row r="77" spans="1:22" s="2" customFormat="1" ht="20.100000000000001" customHeight="1">
      <x:c r="A77" s="299"/>
      <x:c r="B77" s="3"/>
      <x:c r="C77" s="3"/>
      <x:c r="D77" s="163"/>
      <x:c r="E77" s="4">
        <x:f>+D77*0.1</x:f>
        <x:v>0</x:v>
      </x:c>
      <x:c r="F77" s="5">
        <x:f t="shared" si="16"/>
        <x:v>0</x:v>
      </x:c>
      <x:c r="G77" s="6"/>
      <x:c r="H77" s="299"/>
      <x:c r="I77" s="3"/>
      <x:c r="J77" s="3"/>
      <x:c r="K77" s="163"/>
      <x:c r="L77" s="4"/>
      <x:c r="M77" s="5"/>
      <x:c r="N77" s="6"/>
      <x:c r="V77" s="1"/>
    </x:row>
    <x:row r="78" spans="1:22" s="2" customFormat="1" ht="20.100000000000001" customHeight="1">
      <x:c r="A78" s="299"/>
      <x:c r="B78" s="3"/>
      <x:c r="C78" s="3"/>
      <x:c r="D78" s="163"/>
      <x:c r="E78" s="4"/>
      <x:c r="F78" s="5">
        <x:f t="shared" si="16"/>
        <x:v>0</x:v>
      </x:c>
      <x:c r="G78" s="6"/>
      <x:c r="H78" s="299"/>
      <x:c r="I78" s="3"/>
      <x:c r="J78" s="3"/>
      <x:c r="K78" s="163"/>
      <x:c r="L78" s="4"/>
      <x:c r="M78" s="5"/>
      <x:c r="N78" s="6"/>
      <x:c r="V78" s="1"/>
    </x:row>
    <x:row r="79" spans="1:22" s="2" customFormat="1" ht="20.100000000000001" customHeight="1">
      <x:c r="A79" s="7" t="s">
        <x:v>155</x:v>
      </x:c>
      <x:c r="B79" s="8"/>
      <x:c r="C79" s="8"/>
      <x:c r="D79" s="80">
        <x:f>SUM(D73:D78)</x:f>
        <x:v>1500000</x:v>
      </x:c>
      <x:c r="E79" s="9">
        <x:f>SUM(E73:E78)</x:f>
        <x:v>150000</x:v>
      </x:c>
      <x:c r="F79" s="10">
        <x:f>SUM(F73:F78)</x:f>
        <x:v>1650000</x:v>
      </x:c>
      <x:c r="G79" s="11"/>
      <x:c r="H79" s="7" t="s">
        <x:v>155</x:v>
      </x:c>
      <x:c r="I79" s="8"/>
      <x:c r="J79" s="8"/>
      <x:c r="K79" s="80">
        <x:f>SUM(K73:K78)</x:f>
        <x:v>0</x:v>
      </x:c>
      <x:c r="L79" s="9">
        <x:f>SUM(L73:L78)</x:f>
        <x:v>0</x:v>
      </x:c>
      <x:c r="M79" s="10">
        <x:f>SUM(M73:M78)</x:f>
        <x:v>0</x:v>
      </x:c>
      <x:c r="N79" s="11"/>
      <x:c r="V79" s="1"/>
    </x:row>
    <x:row r="80" spans="1:22" s="2" customFormat="1" ht="20.100000000000001" customHeight="1">
      <x:c r="A80" s="301" t="s">
        <x:v>149</x:v>
      </x:c>
      <x:c r="B80" s="3" t="s">
        <x:v>294</x:v>
      </x:c>
      <x:c r="C80" s="3" t="s">
        <x:v>149</x:v>
      </x:c>
      <x:c r="D80" s="4">
        <x:v>617970</x:v>
      </x:c>
      <x:c r="E80" s="4"/>
      <x:c r="F80" s="5">
        <x:f t="shared" ref="F80:F87" si="17">+D80+E80</x:f>
        <x:v>617970</x:v>
      </x:c>
      <x:c r="G80" s="6"/>
      <x:c r="H80" s="301" t="s">
        <x:v>149</x:v>
      </x:c>
      <x:c r="I80" s="3" t="s">
        <x:v>177</x:v>
      </x:c>
      <x:c r="J80" s="3" t="s">
        <x:v>492</x:v>
      </x:c>
      <x:c r="K80" s="163"/>
      <x:c r="L80" s="4"/>
      <x:c r="M80" s="5">
        <x:f>+K80+L80</x:f>
        <x:v>0</x:v>
      </x:c>
      <x:c r="N80" s="6"/>
      <x:c r="V80" s="1"/>
    </x:row>
    <x:row r="81" spans="1:22" s="2" customFormat="1" ht="20.100000000000001" customHeight="1">
      <x:c r="A81" s="299"/>
      <x:c r="B81" s="3" t="s">
        <x:v>177</x:v>
      </x:c>
      <x:c r="C81" s="3" t="s">
        <x:v>149</x:v>
      </x:c>
      <x:c r="D81" s="163">
        <x:v>2266784</x:v>
      </x:c>
      <x:c r="E81" s="4"/>
      <x:c r="F81" s="5">
        <x:f t="shared" si="17"/>
        <x:v>2266784</x:v>
      </x:c>
      <x:c r="G81" s="6" t="s">
        <x:v>1520</x:v>
      </x:c>
      <x:c r="H81" s="299"/>
      <x:c r="I81" s="3"/>
      <x:c r="J81" s="3"/>
      <x:c r="K81" s="163"/>
      <x:c r="L81" s="4"/>
      <x:c r="M81" s="5">
        <x:f t="shared" ref="M81:M92" si="18">+K81+L81</x:f>
        <x:v>0</x:v>
      </x:c>
      <x:c r="N81" s="6"/>
      <x:c r="V81" s="1"/>
    </x:row>
    <x:row r="82" spans="1:22" s="2" customFormat="1" ht="20.100000000000001" customHeight="1">
      <x:c r="A82" s="299"/>
      <x:c r="B82" s="3" t="s">
        <x:v>1680</x:v>
      </x:c>
      <x:c r="C82" s="3" t="s">
        <x:v>914</x:v>
      </x:c>
      <x:c r="D82" s="163">
        <x:v>100000</x:v>
      </x:c>
      <x:c r="E82" s="4">
        <x:f t="shared" ref="E82:E87" si="19">+D82*0.1</x:f>
        <x:v>10000</x:v>
      </x:c>
      <x:c r="F82" s="5">
        <x:f t="shared" si="17"/>
        <x:v>110000</x:v>
      </x:c>
      <x:c r="G82" s="6"/>
      <x:c r="H82" s="299"/>
      <x:c r="I82" s="3"/>
      <x:c r="J82" s="3"/>
      <x:c r="K82" s="163"/>
      <x:c r="L82" s="4"/>
      <x:c r="M82" s="5">
        <x:f t="shared" si="18"/>
        <x:v>0</x:v>
      </x:c>
      <x:c r="N82" s="6"/>
      <x:c r="V82" s="1"/>
    </x:row>
    <x:row r="83" spans="1:22" s="2" customFormat="1" ht="20.100000000000001" customHeight="1">
      <x:c r="A83" s="299"/>
      <x:c r="B83" s="3" t="s">
        <x:v>883</x:v>
      </x:c>
      <x:c r="C83" s="3" t="s">
        <x:v>1417</x:v>
      </x:c>
      <x:c r="D83" s="163">
        <x:v>200000</x:v>
      </x:c>
      <x:c r="E83" s="4">
        <x:f t="shared" si="19"/>
        <x:v>20000</x:v>
      </x:c>
      <x:c r="F83" s="5">
        <x:f t="shared" si="17"/>
        <x:v>220000</x:v>
      </x:c>
      <x:c r="G83" s="6" t="s">
        <x:v>250</x:v>
      </x:c>
      <x:c r="H83" s="299"/>
      <x:c r="I83" s="3"/>
      <x:c r="J83" s="3"/>
      <x:c r="K83" s="163"/>
      <x:c r="L83" s="4"/>
      <x:c r="M83" s="5">
        <x:f t="shared" si="18"/>
        <x:v>0</x:v>
      </x:c>
      <x:c r="N83" s="6"/>
      <x:c r="V83" s="1"/>
    </x:row>
    <x:row r="84" spans="1:22" s="2" customFormat="1" ht="20.100000000000001" customHeight="1">
      <x:c r="A84" s="299"/>
      <x:c r="B84" s="3" t="s">
        <x:v>247</x:v>
      </x:c>
      <x:c r="C84" s="3" t="s">
        <x:v>231</x:v>
      </x:c>
      <x:c r="D84" s="163">
        <x:v>21000</x:v>
      </x:c>
      <x:c r="E84" s="4">
        <x:v>2100</x:v>
      </x:c>
      <x:c r="F84" s="5">
        <x:f t="shared" si="17"/>
        <x:v>23100</x:v>
      </x:c>
      <x:c r="G84" s="6"/>
      <x:c r="H84" s="299"/>
      <x:c r="I84" s="3"/>
      <x:c r="J84" s="3"/>
      <x:c r="K84" s="163"/>
      <x:c r="L84" s="4"/>
      <x:c r="M84" s="5">
        <x:f t="shared" si="18"/>
        <x:v>0</x:v>
      </x:c>
      <x:c r="N84" s="6"/>
      <x:c r="V84" s="1"/>
    </x:row>
    <x:row r="85" spans="1:22" s="2" customFormat="1" ht="20.100000000000001" customHeight="1">
      <x:c r="A85" s="299"/>
      <x:c r="B85" s="3" t="s">
        <x:v>1442</x:v>
      </x:c>
      <x:c r="C85" s="3" t="s">
        <x:v>167</x:v>
      </x:c>
      <x:c r="D85" s="163">
        <x:v>75000</x:v>
      </x:c>
      <x:c r="E85" s="4">
        <x:f t="shared" si="19"/>
        <x:v>7500</x:v>
      </x:c>
      <x:c r="F85" s="5">
        <x:f t="shared" si="17"/>
        <x:v>82500</x:v>
      </x:c>
      <x:c r="G85" s="6"/>
      <x:c r="H85" s="299"/>
      <x:c r="I85" s="3"/>
      <x:c r="J85" s="3"/>
      <x:c r="K85" s="163"/>
      <x:c r="L85" s="4">
        <x:f>+K85*0.1</x:f>
        <x:v>0</x:v>
      </x:c>
      <x:c r="M85" s="5">
        <x:f t="shared" si="18"/>
        <x:v>0</x:v>
      </x:c>
      <x:c r="N85" s="6"/>
      <x:c r="V85" s="1"/>
    </x:row>
    <x:row r="86" spans="1:22" s="2" customFormat="1" ht="20.100000000000001" customHeight="1">
      <x:c r="A86" s="299"/>
      <x:c r="B86" s="129" t="s">
        <x:v>1555</x:v>
      </x:c>
      <x:c r="C86" s="129" t="s">
        <x:v>1598</x:v>
      </x:c>
      <x:c r="D86" s="227"/>
      <x:c r="E86" s="130">
        <x:f t="shared" si="19"/>
        <x:v>0</x:v>
      </x:c>
      <x:c r="F86" s="131">
        <x:f t="shared" si="17"/>
        <x:v>0</x:v>
      </x:c>
      <x:c r="G86" s="132"/>
      <x:c r="H86" s="299"/>
      <x:c r="I86" s="3"/>
      <x:c r="J86" s="3"/>
      <x:c r="K86" s="163"/>
      <x:c r="L86" s="4">
        <x:f>+K86*0.1</x:f>
        <x:v>0</x:v>
      </x:c>
      <x:c r="M86" s="5">
        <x:f t="shared" si="18"/>
        <x:v>0</x:v>
      </x:c>
      <x:c r="N86" s="6"/>
      <x:c r="V86" s="1"/>
    </x:row>
    <x:row r="87" spans="1:22" s="2" customFormat="1" ht="20.100000000000001" customHeight="1">
      <x:c r="A87" s="299"/>
      <x:c r="B87" s="129" t="s">
        <x:v>1582</x:v>
      </x:c>
      <x:c r="C87" s="129" t="s">
        <x:v>290</x:v>
      </x:c>
      <x:c r="D87" s="130">
        <x:v>1094500</x:v>
      </x:c>
      <x:c r="E87" s="130">
        <x:f t="shared" si="19"/>
        <x:v>109450</x:v>
      </x:c>
      <x:c r="F87" s="131">
        <x:f t="shared" si="17"/>
        <x:v>1203950</x:v>
      </x:c>
      <x:c r="G87" s="132"/>
      <x:c r="H87" s="299"/>
      <x:c r="I87" s="3"/>
      <x:c r="J87" s="3"/>
      <x:c r="K87" s="163"/>
      <x:c r="L87" s="4">
        <x:f>+K87*0.1</x:f>
        <x:v>0</x:v>
      </x:c>
      <x:c r="M87" s="5">
        <x:f t="shared" si="18"/>
        <x:v>0</x:v>
      </x:c>
      <x:c r="N87" s="6"/>
      <x:c r="V87" s="1"/>
    </x:row>
    <x:row r="88" spans="1:22" s="2" customFormat="1" ht="20.100000000000001" customHeight="1">
      <x:c r="A88" s="299"/>
      <x:c r="B88" s="3" t="s">
        <x:v>1654</x:v>
      </x:c>
      <x:c r="C88" s="3" t="s">
        <x:v>451</x:v>
      </x:c>
      <x:c r="D88" s="4">
        <x:v>367870</x:v>
      </x:c>
      <x:c r="E88" s="4"/>
      <x:c r="F88" s="5">
        <x:f>+D88+E88</x:f>
        <x:v>367870</x:v>
      </x:c>
      <x:c r="G88" s="6"/>
      <x:c r="H88" s="299"/>
      <x:c r="I88" s="3"/>
      <x:c r="J88" s="3"/>
      <x:c r="K88" s="163"/>
      <x:c r="L88" s="4">
        <x:f>+K88*0.1</x:f>
        <x:v>0</x:v>
      </x:c>
      <x:c r="M88" s="5">
        <x:f t="shared" si="18"/>
        <x:v>0</x:v>
      </x:c>
      <x:c r="N88" s="6"/>
      <x:c r="V88" s="1"/>
    </x:row>
    <x:row r="89" spans="1:22" s="2" customFormat="1" ht="20.100000000000001" customHeight="1">
      <x:c r="A89" s="299"/>
      <x:c r="B89" s="3"/>
      <x:c r="C89" s="3"/>
      <x:c r="D89" s="4"/>
      <x:c r="E89" s="4"/>
      <x:c r="F89" s="5">
        <x:f>+D89+E89</x:f>
        <x:v>0</x:v>
      </x:c>
      <x:c r="G89" s="6"/>
      <x:c r="H89" s="299"/>
      <x:c r="I89" s="3"/>
      <x:c r="J89" s="3"/>
      <x:c r="K89" s="163"/>
      <x:c r="L89" s="4"/>
      <x:c r="M89" s="5">
        <x:f t="shared" si="18"/>
        <x:v>0</x:v>
      </x:c>
      <x:c r="N89" s="6"/>
      <x:c r="V89" s="1"/>
    </x:row>
    <x:row r="90" spans="1:22" s="2" customFormat="1" ht="20.100000000000001" customHeight="1">
      <x:c r="A90" s="299"/>
      <x:c r="B90" s="3"/>
      <x:c r="C90" s="3"/>
      <x:c r="D90" s="4"/>
      <x:c r="E90" s="4"/>
      <x:c r="F90" s="5">
        <x:f>+D90+E90</x:f>
        <x:v>0</x:v>
      </x:c>
      <x:c r="G90" s="6"/>
      <x:c r="H90" s="299"/>
      <x:c r="I90" s="3"/>
      <x:c r="J90" s="3"/>
      <x:c r="K90" s="163"/>
      <x:c r="L90" s="4"/>
      <x:c r="M90" s="5">
        <x:f t="shared" si="18"/>
        <x:v>0</x:v>
      </x:c>
      <x:c r="N90" s="6"/>
      <x:c r="V90" s="1"/>
    </x:row>
    <x:row r="91" spans="1:22" s="2" customFormat="1" ht="20.100000000000001" customHeight="1">
      <x:c r="A91" s="299"/>
      <x:c r="B91" s="3"/>
      <x:c r="C91" s="3"/>
      <x:c r="D91" s="4"/>
      <x:c r="E91" s="4"/>
      <x:c r="F91" s="5">
        <x:f>+D91+E91</x:f>
        <x:v>0</x:v>
      </x:c>
      <x:c r="G91" s="6"/>
      <x:c r="H91" s="299"/>
      <x:c r="I91" s="3"/>
      <x:c r="J91" s="3"/>
      <x:c r="K91" s="163"/>
      <x:c r="L91" s="4">
        <x:f>+K91*0.1</x:f>
        <x:v>0</x:v>
      </x:c>
      <x:c r="M91" s="5">
        <x:f t="shared" si="18"/>
        <x:v>0</x:v>
      </x:c>
      <x:c r="N91" s="6"/>
      <x:c r="V91" s="1"/>
    </x:row>
    <x:row r="92" spans="1:22" s="2" customFormat="1" ht="20.100000000000001" customHeight="1">
      <x:c r="A92" s="299"/>
      <x:c r="B92" s="3"/>
      <x:c r="C92" s="3"/>
      <x:c r="D92" s="4"/>
      <x:c r="E92" s="4"/>
      <x:c r="F92" s="5">
        <x:f>+D92+E92</x:f>
        <x:v>0</x:v>
      </x:c>
      <x:c r="G92" s="6"/>
      <x:c r="H92" s="299"/>
      <x:c r="I92" s="3"/>
      <x:c r="J92" s="3"/>
      <x:c r="K92" s="163"/>
      <x:c r="L92" s="4"/>
      <x:c r="M92" s="5">
        <x:f t="shared" si="18"/>
        <x:v>0</x:v>
      </x:c>
      <x:c r="N92" s="6"/>
      <x:c r="V92" s="1"/>
    </x:row>
    <x:row r="93" spans="1:22" s="2" customFormat="1" ht="20.100000000000001" customHeight="1">
      <x:c r="A93" s="7" t="s">
        <x:v>155</x:v>
      </x:c>
      <x:c r="B93" s="8"/>
      <x:c r="C93" s="8"/>
      <x:c r="D93" s="9">
        <x:f>SUM(D80:D92)</x:f>
        <x:v>4743124</x:v>
      </x:c>
      <x:c r="E93" s="9">
        <x:f>SUM(E80:E92)</x:f>
        <x:v>149050</x:v>
      </x:c>
      <x:c r="F93" s="10">
        <x:f>SUM(F80:F92)</x:f>
        <x:v>4892174</x:v>
      </x:c>
      <x:c r="G93" s="11"/>
      <x:c r="H93" s="7" t="s">
        <x:v>155</x:v>
      </x:c>
      <x:c r="I93" s="8"/>
      <x:c r="J93" s="8"/>
      <x:c r="K93" s="9">
        <x:f>SUM(K80:K92)</x:f>
        <x:v>0</x:v>
      </x:c>
      <x:c r="L93" s="9">
        <x:f>SUM(L80:L92)</x:f>
        <x:v>0</x:v>
      </x:c>
      <x:c r="M93" s="10">
        <x:f>SUM(M80:M92)</x:f>
        <x:v>0</x:v>
      </x:c>
      <x:c r="N93" s="11"/>
      <x:c r="V93" s="1"/>
    </x:row>
    <x:row r="94" spans="1:22" s="2" customFormat="1" ht="20.100000000000001" customHeight="1">
      <x:c r="A94" s="12" t="s">
        <x:v>1690</x:v>
      </x:c>
      <x:c r="B94" s="13"/>
      <x:c r="C94" s="13"/>
      <x:c r="D94" s="14">
        <x:f>+D67+D72+D79+D93</x:f>
        <x:v>68040845</x:v>
      </x:c>
      <x:c r="E94" s="14">
        <x:f>+E67+E72+E79+E93</x:f>
        <x:v>3687321.1000000001</x:v>
      </x:c>
      <x:c r="F94" s="15">
        <x:f>+F67+F72+F79+F93</x:f>
        <x:v>70228166.099999994</x:v>
      </x:c>
      <x:c r="G94" s="16"/>
      <x:c r="H94" s="12" t="s">
        <x:v>1690</x:v>
      </x:c>
      <x:c r="I94" s="13"/>
      <x:c r="J94" s="13"/>
      <x:c r="K94" s="14">
        <x:f>+K67+K72+K79+K93</x:f>
        <x:v>850000</x:v>
      </x:c>
      <x:c r="L94" s="14">
        <x:f>+L67+L72+L79+L93</x:f>
        <x:v>85000</x:v>
      </x:c>
      <x:c r="M94" s="15">
        <x:f>+M67+M72+M79+M93</x:f>
        <x:v>935000</x:v>
      </x:c>
      <x:c r="N94" s="16"/>
      <x:c r="V94" s="1"/>
    </x:row>
    <x:row r="95" spans="1:22" s="2" customFormat="1" ht="20.100000000000001" customHeight="1">
      <x:c r="A95" s="23" t="s">
        <x:v>35</x:v>
      </x:c>
      <x:c r="B95" s="24"/>
      <x:c r="C95" s="24"/>
      <x:c r="D95" s="25">
        <x:f>+D49-D94</x:f>
        <x:v>-29040845</x:v>
      </x:c>
      <x:c r="E95" s="25">
        <x:f>+E49-E94</x:f>
        <x:v>212678.89999999991</x:v>
      </x:c>
      <x:c r="F95" s="26">
        <x:f>+F49-F94</x:f>
        <x:v>-27328166.099999994</x:v>
      </x:c>
      <x:c r="G95" s="27"/>
      <x:c r="H95" s="23" t="s">
        <x:v>35</x:v>
      </x:c>
      <x:c r="I95" s="24"/>
      <x:c r="J95" s="24"/>
      <x:c r="K95" s="25">
        <x:f>+K49-K94</x:f>
        <x:v>34717260</x:v>
      </x:c>
      <x:c r="L95" s="25">
        <x:f>+L49-L94</x:f>
        <x:v>3471726</x:v>
      </x:c>
      <x:c r="M95" s="26">
        <x:f>+M49-M94</x:f>
        <x:v>38188986</x:v>
      </x:c>
      <x:c r="N95" s="27"/>
      <x:c r="V95" s="1"/>
    </x:row>
    <x:row r="96" spans="1:22" s="2" customFormat="1" ht="20.100000000000001" customHeight="1">
      <x:c r="A96" s="302" t="s">
        <x:v>423</x:v>
      </x:c>
      <x:c r="B96" s="303"/>
      <x:c r="C96" s="303"/>
      <x:c r="D96" s="303"/>
      <x:c r="E96" s="303"/>
      <x:c r="F96" s="304"/>
      <x:c r="G96" s="305"/>
      <x:c r="H96" s="302" t="s">
        <x:v>494</x:v>
      </x:c>
      <x:c r="I96" s="303"/>
      <x:c r="J96" s="303"/>
      <x:c r="K96" s="303"/>
      <x:c r="L96" s="303"/>
      <x:c r="M96" s="304"/>
      <x:c r="N96" s="305"/>
      <x:c r="V96" s="1"/>
    </x:row>
    <x:row r="97" spans="1:22" s="2" customFormat="1" ht="20.100000000000001" customHeight="1">
      <x:c r="A97" s="29" t="s">
        <x:v>147</x:v>
      </x:c>
      <x:c r="B97" s="266" t="s">
        <x:v>144</x:v>
      </x:c>
      <x:c r="C97" s="266" t="s">
        <x:v>150</x:v>
      </x:c>
      <x:c r="D97" s="31" t="s">
        <x:v>145</x:v>
      </x:c>
      <x:c r="E97" s="31" t="s">
        <x:v>152</x:v>
      </x:c>
      <x:c r="F97" s="32" t="s">
        <x:v>146</x:v>
      </x:c>
      <x:c r="G97" s="33" t="s">
        <x:v>154</x:v>
      </x:c>
      <x:c r="H97" s="29" t="s">
        <x:v>147</x:v>
      </x:c>
      <x:c r="I97" s="266" t="s">
        <x:v>144</x:v>
      </x:c>
      <x:c r="J97" s="266" t="s">
        <x:v>150</x:v>
      </x:c>
      <x:c r="K97" s="31" t="s">
        <x:v>145</x:v>
      </x:c>
      <x:c r="L97" s="31" t="s">
        <x:v>152</x:v>
      </x:c>
      <x:c r="M97" s="31" t="s">
        <x:v>146</x:v>
      </x:c>
      <x:c r="N97" s="34" t="s">
        <x:v>154</x:v>
      </x:c>
      <x:c r="V97" s="1"/>
    </x:row>
    <x:row r="98" spans="1:22" s="2" customFormat="1" ht="20.100000000000001" customHeight="1">
      <x:c r="A98" s="265" t="s">
        <x:v>151</x:v>
      </x:c>
      <x:c r="B98" s="38" t="s">
        <x:v>1679</x:v>
      </x:c>
      <x:c r="C98" s="38" t="s">
        <x:v>156</x:v>
      </x:c>
      <x:c r="D98" s="39"/>
      <x:c r="E98" s="39"/>
      <x:c r="F98" s="40">
        <x:f t="shared" ref="F98:F113" si="20">+D98+E98</x:f>
        <x:v>0</x:v>
      </x:c>
      <x:c r="G98" s="18"/>
      <x:c r="H98" s="41" t="s">
        <x:v>151</x:v>
      </x:c>
      <x:c r="I98" s="38" t="s">
        <x:v>1679</x:v>
      </x:c>
      <x:c r="J98" s="149" t="s">
        <x:v>1030</x:v>
      </x:c>
      <x:c r="K98" s="39"/>
      <x:c r="L98" s="39"/>
      <x:c r="M98" s="40">
        <x:f>+K98+L98</x:f>
        <x:v>0</x:v>
      </x:c>
      <x:c r="N98" s="42" t="s">
        <x:v>1624</x:v>
      </x:c>
      <x:c r="V98" s="1"/>
    </x:row>
    <x:row r="99" spans="1:22" s="2" customFormat="1" ht="20.100000000000001" customHeight="1">
      <x:c r="A99" s="298" t="s">
        <x:v>148</x:v>
      </x:c>
      <x:c r="B99" s="54" t="s">
        <x:v>1329</x:v>
      </x:c>
      <x:c r="C99" s="54" t="s">
        <x:v>1112</x:v>
      </x:c>
      <x:c r="D99" s="93">
        <x:v>10000000</x:v>
      </x:c>
      <x:c r="E99" s="93">
        <x:f>+D99*0.1</x:f>
        <x:v>1000000</x:v>
      </x:c>
      <x:c r="F99" s="94">
        <x:f t="shared" si="20"/>
        <x:v>11000000</x:v>
      </x:c>
      <x:c r="G99" s="95" t="s">
        <x:v>273</x:v>
      </x:c>
      <x:c r="H99" s="298" t="s">
        <x:v>148</x:v>
      </x:c>
      <x:c r="I99" s="19" t="s">
        <x:v>867</x:v>
      </x:c>
      <x:c r="J99" s="267" t="s">
        <x:v>369</x:v>
      </x:c>
      <x:c r="K99" s="20">
        <x:v>1805400</x:v>
      </x:c>
      <x:c r="L99" s="20">
        <x:f>+K99*0.1</x:f>
        <x:v>180540</x:v>
      </x:c>
      <x:c r="M99" s="21">
        <x:f t="shared" ref="M99:M114" si="21">+K99+L99</x:f>
        <x:v>1985940</x:v>
      </x:c>
      <x:c r="N99" s="22"/>
      <x:c r="V99" s="1"/>
    </x:row>
    <x:row r="100" spans="1:22" s="2" customFormat="1" ht="20.100000000000001" customHeight="1">
      <x:c r="A100" s="299"/>
      <x:c r="B100" s="162" t="s">
        <x:v>1358</x:v>
      </x:c>
      <x:c r="C100" s="162"/>
      <x:c r="D100" s="163"/>
      <x:c r="E100" s="4"/>
      <x:c r="F100" s="193">
        <x:f t="shared" si="20"/>
        <x:v>0</x:v>
      </x:c>
      <x:c r="G100" s="180" t="s">
        <x:v>258</x:v>
      </x:c>
      <x:c r="H100" s="299"/>
      <x:c r="I100" s="3" t="s">
        <x:v>1348</x:v>
      </x:c>
      <x:c r="J100" s="129" t="s">
        <x:v>458</x:v>
      </x:c>
      <x:c r="K100" s="4">
        <x:v>34155</x:v>
      </x:c>
      <x:c r="L100" s="4">
        <x:f>+INT(K100*0.1)</x:f>
        <x:v>3415</x:v>
      </x:c>
      <x:c r="M100" s="5">
        <x:f t="shared" si="21"/>
        <x:v>37570</x:v>
      </x:c>
      <x:c r="N100" s="6"/>
      <x:c r="V100" s="1"/>
    </x:row>
    <x:row r="101" spans="1:22" s="2" customFormat="1" ht="20.100000000000001" customHeight="1">
      <x:c r="A101" s="299"/>
      <x:c r="B101" s="3" t="s">
        <x:v>1362</x:v>
      </x:c>
      <x:c r="C101" s="3"/>
      <x:c r="D101" s="4"/>
      <x:c r="E101" s="4"/>
      <x:c r="F101" s="194">
        <x:f t="shared" si="20"/>
        <x:v>0</x:v>
      </x:c>
      <x:c r="G101" s="180" t="s">
        <x:v>258</x:v>
      </x:c>
      <x:c r="H101" s="299"/>
      <x:c r="I101" s="3" t="s">
        <x:v>838</x:v>
      </x:c>
      <x:c r="J101" s="129" t="s">
        <x:v>1646</x:v>
      </x:c>
      <x:c r="K101" s="4">
        <x:v>843050</x:v>
      </x:c>
      <x:c r="L101" s="209">
        <x:f>+K101*0.1</x:f>
        <x:v>84305</x:v>
      </x:c>
      <x:c r="M101" s="5">
        <x:f t="shared" si="21"/>
        <x:v>927355</x:v>
      </x:c>
      <x:c r="N101" s="6"/>
      <x:c r="V101" s="1"/>
    </x:row>
    <x:row r="102" spans="1:22" s="2" customFormat="1" ht="20.100000000000001" customHeight="1">
      <x:c r="A102" s="299"/>
      <x:c r="B102" s="3" t="s">
        <x:v>1363</x:v>
      </x:c>
      <x:c r="C102" s="3"/>
      <x:c r="D102" s="4"/>
      <x:c r="E102" s="4"/>
      <x:c r="F102" s="194">
        <x:f t="shared" si="20"/>
        <x:v>0</x:v>
      </x:c>
      <x:c r="G102" s="180" t="s">
        <x:v>258</x:v>
      </x:c>
      <x:c r="H102" s="299"/>
      <x:c r="I102" s="3" t="s">
        <x:v>938</x:v>
      </x:c>
      <x:c r="J102" s="129" t="s">
        <x:v>935</x:v>
      </x:c>
      <x:c r="K102" s="4">
        <x:v>386000</x:v>
      </x:c>
      <x:c r="L102" s="4">
        <x:f>+K102*0.1</x:f>
        <x:v>38600</x:v>
      </x:c>
      <x:c r="M102" s="5">
        <x:f t="shared" si="21"/>
        <x:v>424600</x:v>
      </x:c>
      <x:c r="N102" s="6"/>
      <x:c r="V102" s="1"/>
    </x:row>
    <x:row r="103" spans="1:22" s="2" customFormat="1" ht="20.100000000000001" customHeight="1">
      <x:c r="A103" s="299"/>
      <x:c r="B103" s="3" t="s">
        <x:v>1372</x:v>
      </x:c>
      <x:c r="C103" s="3"/>
      <x:c r="D103" s="4"/>
      <x:c r="E103" s="4"/>
      <x:c r="F103" s="194">
        <x:f t="shared" si="20"/>
        <x:v>0</x:v>
      </x:c>
      <x:c r="G103" s="180" t="s">
        <x:v>258</x:v>
      </x:c>
      <x:c r="H103" s="299"/>
      <x:c r="I103" s="3" t="s">
        <x:v>976</x:v>
      </x:c>
      <x:c r="J103" s="129" t="s">
        <x:v>694</x:v>
      </x:c>
      <x:c r="K103" s="44">
        <x:v>1464000</x:v>
      </x:c>
      <x:c r="L103" s="44">
        <x:f>+K103*0.1</x:f>
        <x:v>146400</x:v>
      </x:c>
      <x:c r="M103" s="45">
        <x:f t="shared" si="21"/>
        <x:v>1610400</x:v>
      </x:c>
      <x:c r="N103" s="179"/>
      <x:c r="V103" s="1"/>
    </x:row>
    <x:row r="104" spans="1:22" s="2" customFormat="1" ht="20.100000000000001" customHeight="1">
      <x:c r="A104" s="299"/>
      <x:c r="B104" s="3" t="s">
        <x:v>1380</x:v>
      </x:c>
      <x:c r="C104" s="3"/>
      <x:c r="D104" s="4"/>
      <x:c r="E104" s="4">
        <x:f>+INT(D104*0.1)</x:f>
        <x:v>0</x:v>
      </x:c>
      <x:c r="F104" s="194">
        <x:f t="shared" si="20"/>
        <x:v>0</x:v>
      </x:c>
      <x:c r="G104" s="180" t="s">
        <x:v>258</x:v>
      </x:c>
      <x:c r="H104" s="299"/>
      <x:c r="I104" s="3" t="s">
        <x:v>846</x:v>
      </x:c>
      <x:c r="J104" s="129" t="s">
        <x:v>1656</x:v>
      </x:c>
      <x:c r="K104" s="4">
        <x:v>559500</x:v>
      </x:c>
      <x:c r="L104" s="4">
        <x:f>+K104*0.1</x:f>
        <x:v>55950</x:v>
      </x:c>
      <x:c r="M104" s="5">
        <x:f t="shared" si="21"/>
        <x:v>615450</x:v>
      </x:c>
      <x:c r="N104" s="6"/>
      <x:c r="V104" s="1"/>
    </x:row>
    <x:row r="105" spans="1:22" s="2" customFormat="1" ht="20.100000000000001" customHeight="1">
      <x:c r="A105" s="299"/>
      <x:c r="B105" s="3" t="s">
        <x:v>938</x:v>
      </x:c>
      <x:c r="C105" s="3"/>
      <x:c r="D105" s="4"/>
      <x:c r="E105" s="4"/>
      <x:c r="F105" s="194">
        <x:f t="shared" si="20"/>
        <x:v>0</x:v>
      </x:c>
      <x:c r="G105" s="6" t="s">
        <x:v>273</x:v>
      </x:c>
      <x:c r="H105" s="299"/>
      <x:c r="I105" s="3" t="s">
        <x:v>1378</x:v>
      </x:c>
      <x:c r="J105" s="129"/>
      <x:c r="K105" s="4"/>
      <x:c r="L105" s="4">
        <x:f>+K105*0.1</x:f>
        <x:v>0</x:v>
      </x:c>
      <x:c r="M105" s="5">
        <x:f t="shared" si="21"/>
        <x:v>0</x:v>
      </x:c>
      <x:c r="N105" s="6"/>
      <x:c r="V105" s="1"/>
    </x:row>
    <x:row r="106" spans="1:22" s="2" customFormat="1" ht="20.100000000000001" customHeight="1">
      <x:c r="A106" s="299"/>
      <x:c r="B106" s="3" t="s">
        <x:v>1418</x:v>
      </x:c>
      <x:c r="C106" s="3"/>
      <x:c r="D106" s="4"/>
      <x:c r="E106" s="4"/>
      <x:c r="F106" s="194">
        <x:f t="shared" si="20"/>
        <x:v>0</x:v>
      </x:c>
      <x:c r="G106" s="180" t="s">
        <x:v>258</x:v>
      </x:c>
      <x:c r="H106" s="299"/>
      <x:c r="I106" s="3" t="s">
        <x:v>1449</x:v>
      </x:c>
      <x:c r="J106" s="129"/>
      <x:c r="K106" s="4"/>
      <x:c r="L106" s="4">
        <x:f>+K106*0.1</x:f>
        <x:v>0</x:v>
      </x:c>
      <x:c r="M106" s="5">
        <x:f t="shared" si="21"/>
        <x:v>0</x:v>
      </x:c>
      <x:c r="N106" s="6"/>
      <x:c r="V106" s="1"/>
    </x:row>
    <x:row r="107" spans="1:22" s="2" customFormat="1" ht="20.100000000000001" customHeight="1">
      <x:c r="A107" s="299"/>
      <x:c r="B107" s="3" t="s">
        <x:v>1406</x:v>
      </x:c>
      <x:c r="C107" s="3"/>
      <x:c r="D107" s="4"/>
      <x:c r="E107" s="4"/>
      <x:c r="F107" s="194">
        <x:f t="shared" si="20"/>
        <x:v>0</x:v>
      </x:c>
      <x:c r="G107" s="180" t="s">
        <x:v>258</x:v>
      </x:c>
      <x:c r="H107" s="299"/>
      <x:c r="I107" s="3"/>
      <x:c r="J107" s="3"/>
      <x:c r="K107" s="4"/>
      <x:c r="L107" s="4"/>
      <x:c r="M107" s="5"/>
      <x:c r="N107" s="6"/>
      <x:c r="V107" s="1"/>
    </x:row>
    <x:row r="108" spans="1:22" s="2" customFormat="1" ht="20.100000000000001" customHeight="1">
      <x:c r="A108" s="299"/>
      <x:c r="B108" s="3" t="s">
        <x:v>276</x:v>
      </x:c>
      <x:c r="C108" s="3"/>
      <x:c r="D108" s="4"/>
      <x:c r="E108" s="4"/>
      <x:c r="F108" s="194">
        <x:f t="shared" si="20"/>
        <x:v>0</x:v>
      </x:c>
      <x:c r="G108" s="180" t="s">
        <x:v>258</x:v>
      </x:c>
      <x:c r="H108" s="299"/>
      <x:c r="I108" s="3"/>
      <x:c r="J108" s="3"/>
      <x:c r="K108" s="4"/>
      <x:c r="L108" s="4"/>
      <x:c r="M108" s="5">
        <x:f t="shared" si="21"/>
        <x:v>0</x:v>
      </x:c>
      <x:c r="N108" s="6"/>
      <x:c r="V108" s="1"/>
    </x:row>
    <x:row r="109" spans="1:22" s="2" customFormat="1" ht="20.100000000000001" customHeight="1">
      <x:c r="A109" s="299"/>
      <x:c r="B109" s="3" t="s">
        <x:v>1400</x:v>
      </x:c>
      <x:c r="C109" s="3"/>
      <x:c r="D109" s="4"/>
      <x:c r="E109" s="4"/>
      <x:c r="F109" s="194">
        <x:f t="shared" si="20"/>
        <x:v>0</x:v>
      </x:c>
      <x:c r="G109" s="6" t="s">
        <x:v>273</x:v>
      </x:c>
      <x:c r="H109" s="299"/>
      <x:c r="I109" s="3"/>
      <x:c r="J109" s="3"/>
      <x:c r="K109" s="4"/>
      <x:c r="L109" s="4"/>
      <x:c r="M109" s="5">
        <x:f t="shared" si="21"/>
        <x:v>0</x:v>
      </x:c>
      <x:c r="N109" s="6"/>
      <x:c r="V109" s="1"/>
    </x:row>
    <x:row r="110" spans="1:22" s="2" customFormat="1" ht="20.100000000000001" customHeight="1">
      <x:c r="A110" s="299"/>
      <x:c r="B110" s="3" t="s">
        <x:v>1448</x:v>
      </x:c>
      <x:c r="C110" s="3"/>
      <x:c r="D110" s="4"/>
      <x:c r="E110" s="4">
        <x:f>+D110*0.1</x:f>
        <x:v>0</x:v>
      </x:c>
      <x:c r="F110" s="5">
        <x:f t="shared" si="20"/>
        <x:v>0</x:v>
      </x:c>
      <x:c r="G110" s="6" t="s">
        <x:v>273</x:v>
      </x:c>
      <x:c r="H110" s="299"/>
      <x:c r="I110" s="3"/>
      <x:c r="J110" s="3"/>
      <x:c r="K110" s="4"/>
      <x:c r="L110" s="4"/>
      <x:c r="M110" s="5">
        <x:f t="shared" si="21"/>
        <x:v>0</x:v>
      </x:c>
      <x:c r="N110" s="6"/>
      <x:c r="V110" s="1"/>
    </x:row>
    <x:row r="111" spans="1:22" s="2" customFormat="1" ht="20.100000000000001" customHeight="1">
      <x:c r="A111" s="299"/>
      <x:c r="B111" s="3"/>
      <x:c r="C111" s="3"/>
      <x:c r="D111" s="4"/>
      <x:c r="E111" s="4"/>
      <x:c r="F111" s="5">
        <x:f t="shared" si="20"/>
        <x:v>0</x:v>
      </x:c>
      <x:c r="G111" s="6"/>
      <x:c r="H111" s="299"/>
      <x:c r="I111" s="3"/>
      <x:c r="J111" s="3"/>
      <x:c r="K111" s="4"/>
      <x:c r="L111" s="4"/>
      <x:c r="M111" s="5">
        <x:f t="shared" si="21"/>
        <x:v>0</x:v>
      </x:c>
      <x:c r="N111" s="6"/>
      <x:c r="V111" s="1"/>
    </x:row>
    <x:row r="112" spans="1:22" s="2" customFormat="1" ht="20.100000000000001" customHeight="1">
      <x:c r="A112" s="299"/>
      <x:c r="B112" s="3"/>
      <x:c r="C112" s="3"/>
      <x:c r="D112" s="4"/>
      <x:c r="E112" s="4"/>
      <x:c r="F112" s="5"/>
      <x:c r="G112" s="6"/>
      <x:c r="H112" s="299"/>
      <x:c r="I112" s="3"/>
      <x:c r="J112" s="3"/>
      <x:c r="K112" s="4"/>
      <x:c r="L112" s="4"/>
      <x:c r="M112" s="5">
        <x:f t="shared" si="21"/>
        <x:v>0</x:v>
      </x:c>
      <x:c r="N112" s="6"/>
      <x:c r="V112" s="1"/>
    </x:row>
    <x:row r="113" spans="1:22" s="2" customFormat="1" ht="20.100000000000001" customHeight="1">
      <x:c r="A113" s="299"/>
      <x:c r="B113" s="3"/>
      <x:c r="C113" s="3"/>
      <x:c r="D113" s="4"/>
      <x:c r="E113" s="4"/>
      <x:c r="F113" s="5">
        <x:f t="shared" si="20"/>
        <x:v>0</x:v>
      </x:c>
      <x:c r="G113" s="6"/>
      <x:c r="H113" s="299"/>
      <x:c r="I113" s="3"/>
      <x:c r="J113" s="3"/>
      <x:c r="K113" s="4"/>
      <x:c r="L113" s="4"/>
      <x:c r="M113" s="5">
        <x:f t="shared" si="21"/>
        <x:v>0</x:v>
      </x:c>
      <x:c r="N113" s="6"/>
      <x:c r="V113" s="1"/>
    </x:row>
    <x:row r="114" spans="1:22" s="2" customFormat="1" ht="20.100000000000001" customHeight="1">
      <x:c r="A114" s="300"/>
      <x:c r="B114" s="3"/>
      <x:c r="C114" s="3"/>
      <x:c r="D114" s="4"/>
      <x:c r="E114" s="4"/>
      <x:c r="F114" s="5"/>
      <x:c r="G114" s="6"/>
      <x:c r="H114" s="300"/>
      <x:c r="I114" s="3"/>
      <x:c r="J114" s="3"/>
      <x:c r="K114" s="4"/>
      <x:c r="L114" s="4"/>
      <x:c r="M114" s="5">
        <x:f t="shared" si="21"/>
        <x:v>0</x:v>
      </x:c>
      <x:c r="N114" s="6"/>
      <x:c r="V114" s="1"/>
    </x:row>
    <x:row r="115" spans="1:22" s="2" customFormat="1" ht="20.100000000000001" customHeight="1">
      <x:c r="A115" s="7" t="s">
        <x:v>155</x:v>
      </x:c>
      <x:c r="B115" s="8"/>
      <x:c r="C115" s="8"/>
      <x:c r="D115" s="9">
        <x:f>SUM(D99:D114)</x:f>
        <x:v>10000000</x:v>
      </x:c>
      <x:c r="E115" s="9">
        <x:f>SUM(E99:E114)</x:f>
        <x:v>1000000</x:v>
      </x:c>
      <x:c r="F115" s="10">
        <x:f>SUM(F99:F114)</x:f>
        <x:v>11000000</x:v>
      </x:c>
      <x:c r="G115" s="11"/>
      <x:c r="H115" s="7" t="s">
        <x:v>155</x:v>
      </x:c>
      <x:c r="I115" s="8"/>
      <x:c r="J115" s="8"/>
      <x:c r="K115" s="9">
        <x:f>SUM(K99:K114)</x:f>
        <x:v>5092105</x:v>
      </x:c>
      <x:c r="L115" s="279">
        <x:f>SUM(L99:L114)</x:f>
        <x:v>509210</x:v>
      </x:c>
      <x:c r="M115" s="10">
        <x:f>SUM(M99:M114)</x:f>
        <x:v>5601315</x:v>
      </x:c>
      <x:c r="N115" s="11"/>
      <x:c r="V115" s="1"/>
    </x:row>
    <x:row r="116" spans="1:22" s="2" customFormat="1" ht="20.100000000000001" customHeight="1">
      <x:c r="A116" s="301" t="s">
        <x:v>153</x:v>
      </x:c>
      <x:c r="B116" s="3" t="s">
        <x:v>1241</x:v>
      </x:c>
      <x:c r="C116" s="3" t="s">
        <x:v>1594</x:v>
      </x:c>
      <x:c r="D116" s="44"/>
      <x:c r="E116" s="44"/>
      <x:c r="F116" s="45">
        <x:f>+D116+E116</x:f>
        <x:v>0</x:v>
      </x:c>
      <x:c r="G116" s="180" t="s">
        <x:v>258</x:v>
      </x:c>
      <x:c r="H116" s="301" t="s">
        <x:v>153</x:v>
      </x:c>
      <x:c r="I116" s="3" t="s">
        <x:v>1677</x:v>
      </x:c>
      <x:c r="J116" s="3" t="s">
        <x:v>1083</x:v>
      </x:c>
      <x:c r="K116" s="4">
        <x:v>31015000</x:v>
      </x:c>
      <x:c r="L116" s="4"/>
      <x:c r="M116" s="5">
        <x:f>+K116+L116</x:f>
        <x:v>31015000</x:v>
      </x:c>
      <x:c r="N116" s="6"/>
      <x:c r="V116" s="1"/>
    </x:row>
    <x:row r="117" spans="1:22" s="2" customFormat="1" ht="20.100000000000001" customHeight="1">
      <x:c r="A117" s="299"/>
      <x:c r="B117" s="3"/>
      <x:c r="C117" s="3"/>
      <x:c r="D117" s="44"/>
      <x:c r="E117" s="44">
        <x:f>+D117*0.1</x:f>
        <x:v>0</x:v>
      </x:c>
      <x:c r="F117" s="45">
        <x:f>+D117+E117</x:f>
        <x:v>0</x:v>
      </x:c>
      <x:c r="G117" s="37"/>
      <x:c r="H117" s="299"/>
      <x:c r="I117" s="3"/>
      <x:c r="J117" s="3"/>
      <x:c r="K117" s="4"/>
      <x:c r="L117" s="4"/>
      <x:c r="M117" s="5">
        <x:f>+K117+L117</x:f>
        <x:v>0</x:v>
      </x:c>
      <x:c r="N117" s="6"/>
      <x:c r="V117" s="1"/>
    </x:row>
    <x:row r="118" spans="1:22" s="2" customFormat="1" ht="20.100000000000001" customHeight="1">
      <x:c r="A118" s="299"/>
      <x:c r="B118" s="3"/>
      <x:c r="C118" s="3"/>
      <x:c r="D118" s="4"/>
      <x:c r="E118" s="4">
        <x:f>+D118*0.1</x:f>
        <x:v>0</x:v>
      </x:c>
      <x:c r="F118" s="5">
        <x:f>+D118+E118</x:f>
        <x:v>0</x:v>
      </x:c>
      <x:c r="G118" s="6"/>
      <x:c r="H118" s="299"/>
      <x:c r="I118" s="3"/>
      <x:c r="J118" s="3"/>
      <x:c r="K118" s="4"/>
      <x:c r="L118" s="4"/>
      <x:c r="M118" s="5">
        <x:f>+K118+L118</x:f>
        <x:v>0</x:v>
      </x:c>
      <x:c r="N118" s="6"/>
      <x:c r="V118" s="1"/>
    </x:row>
    <x:row r="119" spans="1:22" s="2" customFormat="1" ht="20.100000000000001" customHeight="1">
      <x:c r="A119" s="300"/>
      <x:c r="B119" s="3"/>
      <x:c r="C119" s="3"/>
      <x:c r="D119" s="4"/>
      <x:c r="E119" s="4">
        <x:f>+D119*0.1</x:f>
        <x:v>0</x:v>
      </x:c>
      <x:c r="F119" s="5">
        <x:f>+D119+E119</x:f>
        <x:v>0</x:v>
      </x:c>
      <x:c r="G119" s="6"/>
      <x:c r="H119" s="300"/>
      <x:c r="I119" s="3"/>
      <x:c r="J119" s="3"/>
      <x:c r="K119" s="4"/>
      <x:c r="L119" s="4"/>
      <x:c r="M119" s="5">
        <x:f>+K119+L119</x:f>
        <x:v>0</x:v>
      </x:c>
      <x:c r="N119" s="6"/>
      <x:c r="V119" s="1"/>
    </x:row>
    <x:row r="120" spans="1:22" s="2" customFormat="1" ht="20.100000000000001" customHeight="1">
      <x:c r="A120" s="7" t="s">
        <x:v>155</x:v>
      </x:c>
      <x:c r="B120" s="8"/>
      <x:c r="C120" s="8"/>
      <x:c r="D120" s="9">
        <x:f>SUM(D116:D119)</x:f>
        <x:v>0</x:v>
      </x:c>
      <x:c r="E120" s="9">
        <x:f>SUM(E116:E119)</x:f>
        <x:v>0</x:v>
      </x:c>
      <x:c r="F120" s="10">
        <x:f>SUM(F116:F119)</x:f>
        <x:v>0</x:v>
      </x:c>
      <x:c r="G120" s="11"/>
      <x:c r="H120" s="7" t="s">
        <x:v>155</x:v>
      </x:c>
      <x:c r="I120" s="8"/>
      <x:c r="J120" s="8"/>
      <x:c r="K120" s="9">
        <x:f>SUM(K116:K119)</x:f>
        <x:v>31015000</x:v>
      </x:c>
      <x:c r="L120" s="9">
        <x:f>SUM(L116:L119)</x:f>
        <x:v>0</x:v>
      </x:c>
      <x:c r="M120" s="10">
        <x:f>SUM(M116:M119)</x:f>
        <x:v>31015000</x:v>
      </x:c>
      <x:c r="N120" s="11"/>
      <x:c r="V120" s="1"/>
    </x:row>
    <x:row r="121" spans="1:22" s="2" customFormat="1" ht="20.100000000000001" customHeight="1">
      <x:c r="A121" s="301" t="s">
        <x:v>187</x:v>
      </x:c>
      <x:c r="B121" s="3" t="s">
        <x:v>484</x:v>
      </x:c>
      <x:c r="C121" s="3" t="s">
        <x:v>1373</x:v>
      </x:c>
      <x:c r="D121" s="4"/>
      <x:c r="E121" s="4">
        <x:f>+D121*0.1</x:f>
        <x:v>0</x:v>
      </x:c>
      <x:c r="F121" s="5">
        <x:f>+D121+E121</x:f>
        <x:v>0</x:v>
      </x:c>
      <x:c r="G121" s="180" t="s">
        <x:v>258</x:v>
      </x:c>
      <x:c r="H121" s="301" t="s">
        <x:v>187</x:v>
      </x:c>
      <x:c r="I121" s="3" t="s">
        <x:v>857</x:v>
      </x:c>
      <x:c r="J121" s="3" t="s">
        <x:v>1006</x:v>
      </x:c>
      <x:c r="K121" s="4">
        <x:v>300000</x:v>
      </x:c>
      <x:c r="L121" s="4">
        <x:f>+K121*0.1</x:f>
        <x:v>30000</x:v>
      </x:c>
      <x:c r="M121" s="5">
        <x:f>+K121+L121</x:f>
        <x:v>330000</x:v>
      </x:c>
      <x:c r="N121" s="6"/>
      <x:c r="V121" s="1"/>
    </x:row>
    <x:row r="122" spans="1:22" s="2" customFormat="1" ht="20.100000000000001" customHeight="1">
      <x:c r="A122" s="299"/>
      <x:c r="B122" s="3"/>
      <x:c r="C122" s="3"/>
      <x:c r="D122" s="4"/>
      <x:c r="E122" s="4"/>
      <x:c r="F122" s="5">
        <x:f>+D122+E122</x:f>
        <x:v>0</x:v>
      </x:c>
      <x:c r="G122" s="180"/>
      <x:c r="H122" s="299"/>
      <x:c r="I122" s="3" t="s">
        <x:v>559</x:v>
      </x:c>
      <x:c r="J122" s="3" t="s">
        <x:v>948</x:v>
      </x:c>
      <x:c r="K122" s="4"/>
      <x:c r="L122" s="4">
        <x:f>+K122*0.1</x:f>
        <x:v>0</x:v>
      </x:c>
      <x:c r="M122" s="5">
        <x:f>+K122+L122</x:f>
        <x:v>0</x:v>
      </x:c>
      <x:c r="N122" s="6"/>
      <x:c r="V122" s="1"/>
    </x:row>
    <x:row r="123" spans="1:22" s="2" customFormat="1" ht="20.100000000000001" customHeight="1">
      <x:c r="A123" s="299"/>
      <x:c r="B123" s="3"/>
      <x:c r="C123" s="3"/>
      <x:c r="D123" s="4"/>
      <x:c r="E123" s="4"/>
      <x:c r="F123" s="5">
        <x:f>+D123+E123</x:f>
        <x:v>0</x:v>
      </x:c>
      <x:c r="G123" s="180"/>
      <x:c r="H123" s="299"/>
      <x:c r="I123" s="3"/>
      <x:c r="J123" s="3"/>
      <x:c r="K123" s="4"/>
      <x:c r="L123" s="4"/>
      <x:c r="M123" s="5">
        <x:f>+K123+L123</x:f>
        <x:v>0</x:v>
      </x:c>
      <x:c r="N123" s="6"/>
      <x:c r="V123" s="1"/>
    </x:row>
    <x:row r="124" spans="1:22" s="2" customFormat="1" ht="20.100000000000001" customHeight="1">
      <x:c r="A124" s="300"/>
      <x:c r="B124" s="3"/>
      <x:c r="C124" s="3"/>
      <x:c r="D124" s="4"/>
      <x:c r="E124" s="4"/>
      <x:c r="F124" s="5">
        <x:f>+D124+E124</x:f>
        <x:v>0</x:v>
      </x:c>
      <x:c r="G124" s="6"/>
      <x:c r="H124" s="300"/>
      <x:c r="I124" s="3"/>
      <x:c r="J124" s="3"/>
      <x:c r="K124" s="4"/>
      <x:c r="L124" s="4"/>
      <x:c r="M124" s="5">
        <x:f>+K124+L124</x:f>
        <x:v>0</x:v>
      </x:c>
      <x:c r="N124" s="6"/>
      <x:c r="V124" s="1"/>
    </x:row>
    <x:row r="125" spans="1:22" s="2" customFormat="1" ht="20.100000000000001" customHeight="1">
      <x:c r="A125" s="7" t="s">
        <x:v>155</x:v>
      </x:c>
      <x:c r="B125" s="8"/>
      <x:c r="C125" s="8"/>
      <x:c r="D125" s="9">
        <x:f>SUM(D121:D124)</x:f>
        <x:v>0</x:v>
      </x:c>
      <x:c r="E125" s="9">
        <x:f>SUM(E121:E124)</x:f>
        <x:v>0</x:v>
      </x:c>
      <x:c r="F125" s="10">
        <x:f>SUM(F121:F124)</x:f>
        <x:v>0</x:v>
      </x:c>
      <x:c r="G125" s="11"/>
      <x:c r="H125" s="7" t="s">
        <x:v>155</x:v>
      </x:c>
      <x:c r="I125" s="8"/>
      <x:c r="J125" s="8"/>
      <x:c r="K125" s="9">
        <x:f>SUM(K121:K124)</x:f>
        <x:v>300000</x:v>
      </x:c>
      <x:c r="L125" s="9">
        <x:f>SUM(L121:L124)</x:f>
        <x:v>30000</x:v>
      </x:c>
      <x:c r="M125" s="10">
        <x:f>SUM(M121:M124)</x:f>
        <x:v>330000</x:v>
      </x:c>
      <x:c r="N125" s="11"/>
      <x:c r="V125" s="1"/>
    </x:row>
    <x:row r="126" spans="1:22" s="2" customFormat="1" ht="20.100000000000001" customHeight="1">
      <x:c r="A126" s="301" t="s">
        <x:v>149</x:v>
      </x:c>
      <x:c r="B126" s="3" t="s">
        <x:v>1404</x:v>
      </x:c>
      <x:c r="C126" s="3" t="s">
        <x:v>887</x:v>
      </x:c>
      <x:c r="D126" s="4"/>
      <x:c r="E126" s="4"/>
      <x:c r="F126" s="5">
        <x:f>+D126+E126</x:f>
        <x:v>0</x:v>
      </x:c>
      <x:c r="G126" s="6" t="s">
        <x:v>489</x:v>
      </x:c>
      <x:c r="H126" s="301" t="s">
        <x:v>149</x:v>
      </x:c>
      <x:c r="I126" s="3" t="s">
        <x:v>169</x:v>
      </x:c>
      <x:c r="J126" s="3" t="s">
        <x:v>149</x:v>
      </x:c>
      <x:c r="K126" s="4">
        <x:v>2294340</x:v>
      </x:c>
      <x:c r="L126" s="4">
        <x:v>7000</x:v>
      </x:c>
      <x:c r="M126" s="5">
        <x:f t="shared" ref="M126:M132" si="22">+K126+L126</x:f>
        <x:v>2301340</x:v>
      </x:c>
      <x:c r="N126" s="6" t="s">
        <x:v>1518</x:v>
      </x:c>
      <x:c r="V126" s="1"/>
    </x:row>
    <x:row r="127" spans="1:22" s="2" customFormat="1" ht="20.100000000000001" customHeight="1">
      <x:c r="A127" s="299"/>
      <x:c r="B127" s="3" t="s">
        <x:v>247</x:v>
      </x:c>
      <x:c r="C127" s="3" t="s">
        <x:v>571</x:v>
      </x:c>
      <x:c r="D127" s="4">
        <x:f>217500+217500</x:f>
        <x:v>435000</x:v>
      </x:c>
      <x:c r="E127" s="4">
        <x:f>+D127*0.1</x:f>
        <x:v>43500</x:v>
      </x:c>
      <x:c r="F127" s="5">
        <x:f>+D127+E127</x:f>
        <x:v>478500</x:v>
      </x:c>
      <x:c r="G127" s="6" t="s">
        <x:v>447</x:v>
      </x:c>
      <x:c r="H127" s="299"/>
      <x:c r="I127" s="3" t="s">
        <x:v>1650</x:v>
      </x:c>
      <x:c r="J127" s="3" t="s">
        <x:v>1356</x:v>
      </x:c>
      <x:c r="K127" s="4">
        <x:v>1962000</x:v>
      </x:c>
      <x:c r="L127" s="4">
        <x:f>+K127*0.1</x:f>
        <x:v>196200</x:v>
      </x:c>
      <x:c r="M127" s="5">
        <x:f t="shared" si="22"/>
        <x:v>2158200</x:v>
      </x:c>
      <x:c r="N127" s="6"/>
      <x:c r="V127" s="1"/>
    </x:row>
    <x:row r="128" spans="1:22" s="2" customFormat="1" ht="20.100000000000001" customHeight="1">
      <x:c r="A128" s="299"/>
      <x:c r="B128" s="3"/>
      <x:c r="C128" s="3"/>
      <x:c r="D128" s="4"/>
      <x:c r="E128" s="4"/>
      <x:c r="F128" s="5">
        <x:f>+D128+E128</x:f>
        <x:v>0</x:v>
      </x:c>
      <x:c r="G128" s="6"/>
      <x:c r="H128" s="299"/>
      <x:c r="I128" s="3" t="s">
        <x:v>261</x:v>
      </x:c>
      <x:c r="J128" s="3" t="s">
        <x:v>517</x:v>
      </x:c>
      <x:c r="K128" s="4">
        <x:v>500000</x:v>
      </x:c>
      <x:c r="L128" s="4"/>
      <x:c r="M128" s="5">
        <x:f t="shared" si="22"/>
        <x:v>500000</x:v>
      </x:c>
      <x:c r="N128" s="6"/>
      <x:c r="V128" s="1"/>
    </x:row>
    <x:row r="129" spans="1:22" s="2" customFormat="1" ht="20.100000000000001" customHeight="1">
      <x:c r="A129" s="299"/>
      <x:c r="B129" s="3"/>
      <x:c r="C129" s="3"/>
      <x:c r="D129" s="4"/>
      <x:c r="E129" s="4"/>
      <x:c r="F129" s="5">
        <x:f t="shared" ref="F129:F135" si="23">+D129+E129</x:f>
        <x:v>0</x:v>
      </x:c>
      <x:c r="G129" s="6"/>
      <x:c r="H129" s="299"/>
      <x:c r="I129" s="3" t="s">
        <x:v>527</x:v>
      </x:c>
      <x:c r="J129" s="3" t="s">
        <x:v>914</x:v>
      </x:c>
      <x:c r="K129" s="4">
        <x:v>130000</x:v>
      </x:c>
      <x:c r="L129" s="4">
        <x:f>+K129*0.1</x:f>
        <x:v>13000</x:v>
      </x:c>
      <x:c r="M129" s="5">
        <x:f t="shared" si="22"/>
        <x:v>143000</x:v>
      </x:c>
      <x:c r="N129" s="6"/>
      <x:c r="V129" s="1"/>
    </x:row>
    <x:row r="130" spans="1:22" s="2" customFormat="1" ht="20.100000000000001" customHeight="1">
      <x:c r="A130" s="299"/>
      <x:c r="B130" s="3"/>
      <x:c r="C130" s="3"/>
      <x:c r="D130" s="4"/>
      <x:c r="E130" s="4"/>
      <x:c r="F130" s="5">
        <x:f t="shared" si="23"/>
        <x:v>0</x:v>
      </x:c>
      <x:c r="G130" s="6"/>
      <x:c r="H130" s="299"/>
      <x:c r="I130" s="3" t="s">
        <x:v>247</x:v>
      </x:c>
      <x:c r="J130" s="3" t="s">
        <x:v>231</x:v>
      </x:c>
      <x:c r="K130" s="4">
        <x:v>42000</x:v>
      </x:c>
      <x:c r="L130" s="4">
        <x:v>4200</x:v>
      </x:c>
      <x:c r="M130" s="5">
        <x:f t="shared" si="22"/>
        <x:v>46200</x:v>
      </x:c>
      <x:c r="N130" s="6" t="s">
        <x:v>1451</x:v>
      </x:c>
      <x:c r="V130" s="1"/>
    </x:row>
    <x:row r="131" spans="1:22" s="2" customFormat="1" ht="20.100000000000001" customHeight="1">
      <x:c r="A131" s="299"/>
      <x:c r="B131" s="3"/>
      <x:c r="C131" s="3"/>
      <x:c r="D131" s="4"/>
      <x:c r="E131" s="4"/>
      <x:c r="F131" s="5">
        <x:f t="shared" si="23"/>
        <x:v>0</x:v>
      </x:c>
      <x:c r="G131" s="6"/>
      <x:c r="H131" s="299"/>
      <x:c r="I131" s="3" t="s">
        <x:v>555</x:v>
      </x:c>
      <x:c r="J131" s="3" t="s">
        <x:v>167</x:v>
      </x:c>
      <x:c r="K131" s="4">
        <x:v>43000</x:v>
      </x:c>
      <x:c r="L131" s="4">
        <x:f>+K131*0.1</x:f>
        <x:v>4300</x:v>
      </x:c>
      <x:c r="M131" s="5">
        <x:f t="shared" si="22"/>
        <x:v>47300</x:v>
      </x:c>
      <x:c r="N131" s="6"/>
      <x:c r="V131" s="1"/>
    </x:row>
    <x:row r="132" spans="1:22" s="2" customFormat="1" ht="20.100000000000001" customHeight="1">
      <x:c r="A132" s="299"/>
      <x:c r="B132" s="3"/>
      <x:c r="C132" s="3"/>
      <x:c r="D132" s="4"/>
      <x:c r="E132" s="4"/>
      <x:c r="F132" s="5">
        <x:f t="shared" si="23"/>
        <x:v>0</x:v>
      </x:c>
      <x:c r="G132" s="6"/>
      <x:c r="H132" s="299"/>
      <x:c r="I132" s="3" t="s">
        <x:v>162</x:v>
      </x:c>
      <x:c r="J132" s="3" t="s">
        <x:v>592</x:v>
      </x:c>
      <x:c r="K132" s="4">
        <x:v>204700</x:v>
      </x:c>
      <x:c r="L132" s="4"/>
      <x:c r="M132" s="5">
        <x:f t="shared" si="22"/>
        <x:v>204700</x:v>
      </x:c>
      <x:c r="N132" s="6"/>
      <x:c r="V132" s="1"/>
    </x:row>
    <x:row r="133" spans="1:22" s="2" customFormat="1" ht="20.100000000000001" customHeight="1">
      <x:c r="A133" s="299"/>
      <x:c r="B133" s="3"/>
      <x:c r="C133" s="3"/>
      <x:c r="D133" s="4"/>
      <x:c r="E133" s="4"/>
      <x:c r="F133" s="5">
        <x:f t="shared" si="23"/>
        <x:v>0</x:v>
      </x:c>
      <x:c r="G133" s="6"/>
      <x:c r="H133" s="299"/>
      <x:c r="I133" s="3" t="s">
        <x:v>1663</x:v>
      </x:c>
      <x:c r="J133" s="3" t="s">
        <x:v>312</x:v>
      </x:c>
      <x:c r="K133" s="4"/>
      <x:c r="L133" s="4">
        <x:f>+K133*0.1</x:f>
        <x:v>0</x:v>
      </x:c>
      <x:c r="M133" s="5">
        <x:f>+K133+L133</x:f>
        <x:v>0</x:v>
      </x:c>
      <x:c r="N133" s="6"/>
      <x:c r="V133" s="1"/>
    </x:row>
    <x:row r="134" spans="1:22" s="2" customFormat="1" ht="20.100000000000001" customHeight="1">
      <x:c r="A134" s="299"/>
      <x:c r="B134" s="3"/>
      <x:c r="C134" s="3"/>
      <x:c r="D134" s="4"/>
      <x:c r="E134" s="4"/>
      <x:c r="F134" s="5">
        <x:f t="shared" si="23"/>
        <x:v>0</x:v>
      </x:c>
      <x:c r="G134" s="6"/>
      <x:c r="H134" s="299"/>
      <x:c r="I134" s="3" t="s">
        <x:v>1404</x:v>
      </x:c>
      <x:c r="J134" s="3" t="s">
        <x:v>887</x:v>
      </x:c>
      <x:c r="K134" s="4">
        <x:v>8470</x:v>
      </x:c>
      <x:c r="L134" s="4"/>
      <x:c r="M134" s="5">
        <x:f>+K134+L134</x:f>
        <x:v>8470</x:v>
      </x:c>
      <x:c r="N134" s="6" t="s">
        <x:v>489</x:v>
      </x:c>
      <x:c r="V134" s="1"/>
    </x:row>
    <x:row r="135" spans="1:22" s="2" customFormat="1" ht="20.100000000000001" customHeight="1">
      <x:c r="A135" s="300"/>
      <x:c r="B135" s="3"/>
      <x:c r="C135" s="3"/>
      <x:c r="D135" s="4"/>
      <x:c r="E135" s="4"/>
      <x:c r="F135" s="5">
        <x:f t="shared" si="23"/>
        <x:v>0</x:v>
      </x:c>
      <x:c r="G135" s="6"/>
      <x:c r="H135" s="300"/>
      <x:c r="I135" s="3" t="s">
        <x:v>1425</x:v>
      </x:c>
      <x:c r="J135" s="3" t="s">
        <x:v>287</x:v>
      </x:c>
      <x:c r="K135" s="4">
        <x:v>208317</x:v>
      </x:c>
      <x:c r="L135" s="4">
        <x:f>+K135*0.1-1</x:f>
        <x:v>20830.700000000001</x:v>
      </x:c>
      <x:c r="M135" s="5">
        <x:f>+K135+L135</x:f>
        <x:v>229147.70000000001</x:v>
      </x:c>
      <x:c r="N135" s="6"/>
      <x:c r="V135" s="1"/>
    </x:row>
    <x:row r="136" spans="1:22" s="2" customFormat="1" ht="20.100000000000001" customHeight="1">
      <x:c r="A136" s="7" t="s">
        <x:v>155</x:v>
      </x:c>
      <x:c r="B136" s="8"/>
      <x:c r="C136" s="8"/>
      <x:c r="D136" s="9">
        <x:f>SUM(D126:D135)</x:f>
        <x:v>435000</x:v>
      </x:c>
      <x:c r="E136" s="9">
        <x:f>SUM(E126:E135)</x:f>
        <x:v>43500</x:v>
      </x:c>
      <x:c r="F136" s="10">
        <x:f>SUM(F126:F135)</x:f>
        <x:v>478500</x:v>
      </x:c>
      <x:c r="G136" s="11"/>
      <x:c r="H136" s="7" t="s">
        <x:v>155</x:v>
      </x:c>
      <x:c r="I136" s="8"/>
      <x:c r="J136" s="8"/>
      <x:c r="K136" s="9">
        <x:f>SUM(K126:K135)</x:f>
        <x:v>5392827</x:v>
      </x:c>
      <x:c r="L136" s="9">
        <x:f>SUM(L126:L135)</x:f>
        <x:v>245530.70000000001</x:v>
      </x:c>
      <x:c r="M136" s="10">
        <x:f>SUM(M126:M135)</x:f>
        <x:v>5638357.7000000002</x:v>
      </x:c>
      <x:c r="N136" s="11"/>
      <x:c r="V136" s="1"/>
    </x:row>
    <x:row r="137" spans="1:22" s="2" customFormat="1" ht="20.100000000000001" customHeight="1">
      <x:c r="A137" s="12" t="s">
        <x:v>1690</x:v>
      </x:c>
      <x:c r="B137" s="13"/>
      <x:c r="C137" s="13"/>
      <x:c r="D137" s="14">
        <x:f>+D115+D120+D125+D136</x:f>
        <x:v>10435000</x:v>
      </x:c>
      <x:c r="E137" s="14">
        <x:f>+E115+E120+E125+E136</x:f>
        <x:v>1043500</x:v>
      </x:c>
      <x:c r="F137" s="15">
        <x:f>+F115+F120+F125+F136</x:f>
        <x:v>11478500</x:v>
      </x:c>
      <x:c r="G137" s="16"/>
      <x:c r="H137" s="12" t="s">
        <x:v>1690</x:v>
      </x:c>
      <x:c r="I137" s="13"/>
      <x:c r="J137" s="13"/>
      <x:c r="K137" s="14">
        <x:f>+K115+K120+K125+K136</x:f>
        <x:v>41799932</x:v>
      </x:c>
      <x:c r="L137" s="14">
        <x:f>+L115+L120+L125+L136</x:f>
        <x:v>784740.69999999995</x:v>
      </x:c>
      <x:c r="M137" s="15">
        <x:f>+M115+M120+M125+M136</x:f>
        <x:v>42584672.700000003</x:v>
      </x:c>
      <x:c r="N137" s="16"/>
      <x:c r="V137" s="1"/>
    </x:row>
    <x:row r="138" spans="1:22" s="2" customFormat="1" ht="20.100000000000001" customHeight="1">
      <x:c r="A138" s="23" t="s">
        <x:v>35</x:v>
      </x:c>
      <x:c r="B138" s="24"/>
      <x:c r="C138" s="24"/>
      <x:c r="D138" s="25">
        <x:f>+D98-D137</x:f>
        <x:v>-10435000</x:v>
      </x:c>
      <x:c r="E138" s="25">
        <x:f>+E98-E137</x:f>
        <x:v>-1043500</x:v>
      </x:c>
      <x:c r="F138" s="26">
        <x:f>+F98-F137</x:f>
        <x:v>-11478500</x:v>
      </x:c>
      <x:c r="G138" s="27"/>
      <x:c r="H138" s="23" t="s">
        <x:v>35</x:v>
      </x:c>
      <x:c r="I138" s="24"/>
      <x:c r="J138" s="24"/>
      <x:c r="K138" s="25">
        <x:f>+K98-K137</x:f>
        <x:v>-41799932</x:v>
      </x:c>
      <x:c r="L138" s="25">
        <x:f>+L98-L137</x:f>
        <x:v>-784740.69999999995</x:v>
      </x:c>
      <x:c r="M138" s="26">
        <x:f>+M98-M137</x:f>
        <x:v>-42584672.700000003</x:v>
      </x:c>
      <x:c r="N138" s="27"/>
      <x:c r="V138" s="1"/>
    </x:row>
    <x:row r="139" spans="1:22" s="2" customFormat="1" ht="20.100000000000001" customHeight="1">
      <x:c r="A139" s="302" t="s">
        <x:v>580</x:v>
      </x:c>
      <x:c r="B139" s="303"/>
      <x:c r="C139" s="303"/>
      <x:c r="D139" s="303"/>
      <x:c r="E139" s="303"/>
      <x:c r="F139" s="304"/>
      <x:c r="G139" s="305"/>
      <x:c r="H139" s="302" t="s">
        <x:v>560</x:v>
      </x:c>
      <x:c r="I139" s="303"/>
      <x:c r="J139" s="303"/>
      <x:c r="K139" s="303"/>
      <x:c r="L139" s="303"/>
      <x:c r="M139" s="304"/>
      <x:c r="N139" s="305"/>
      <x:c r="V139" s="1"/>
    </x:row>
    <x:row r="140" spans="1:22" s="2" customFormat="1" ht="20.100000000000001" customHeight="1">
      <x:c r="A140" s="29" t="s">
        <x:v>147</x:v>
      </x:c>
      <x:c r="B140" s="266" t="s">
        <x:v>144</x:v>
      </x:c>
      <x:c r="C140" s="266" t="s">
        <x:v>150</x:v>
      </x:c>
      <x:c r="D140" s="31" t="s">
        <x:v>145</x:v>
      </x:c>
      <x:c r="E140" s="31" t="s">
        <x:v>152</x:v>
      </x:c>
      <x:c r="F140" s="31" t="s">
        <x:v>146</x:v>
      </x:c>
      <x:c r="G140" s="34" t="s">
        <x:v>154</x:v>
      </x:c>
      <x:c r="H140" s="29" t="s">
        <x:v>147</x:v>
      </x:c>
      <x:c r="I140" s="266" t="s">
        <x:v>144</x:v>
      </x:c>
      <x:c r="J140" s="266" t="s">
        <x:v>150</x:v>
      </x:c>
      <x:c r="K140" s="31" t="s">
        <x:v>145</x:v>
      </x:c>
      <x:c r="L140" s="31" t="s">
        <x:v>152</x:v>
      </x:c>
      <x:c r="M140" s="31" t="s">
        <x:v>146</x:v>
      </x:c>
      <x:c r="N140" s="34" t="s">
        <x:v>154</x:v>
      </x:c>
      <x:c r="V140" s="1"/>
    </x:row>
    <x:row r="141" spans="1:22" s="2" customFormat="1" ht="20.100000000000001" customHeight="1">
      <x:c r="A141" s="41" t="s">
        <x:v>151</x:v>
      </x:c>
      <x:c r="B141" s="38" t="s">
        <x:v>1679</x:v>
      </x:c>
      <x:c r="C141" s="38" t="s">
        <x:v>791</x:v>
      </x:c>
      <x:c r="D141" s="39">
        <x:v>10699640</x:v>
      </x:c>
      <x:c r="E141" s="39">
        <x:v>240360</x:v>
      </x:c>
      <x:c r="F141" s="40">
        <x:f>+D141+E141</x:f>
        <x:v>10940000</x:v>
      </x:c>
      <x:c r="G141" s="42"/>
      <x:c r="H141" s="41" t="s">
        <x:v>151</x:v>
      </x:c>
      <x:c r="I141" s="38" t="s">
        <x:v>1679</x:v>
      </x:c>
      <x:c r="J141" s="38" t="s">
        <x:v>156</x:v>
      </x:c>
      <x:c r="K141" s="39"/>
      <x:c r="L141" s="39"/>
      <x:c r="M141" s="40">
        <x:f>+K141+L141</x:f>
        <x:v>0</x:v>
      </x:c>
      <x:c r="N141" s="42"/>
      <x:c r="V141" s="1"/>
    </x:row>
    <x:row r="142" spans="1:22" s="2" customFormat="1" ht="20.100000000000001" customHeight="1">
      <x:c r="A142" s="298" t="s">
        <x:v>148</x:v>
      </x:c>
      <x:c r="B142" s="19"/>
      <x:c r="C142" s="19"/>
      <x:c r="D142" s="20"/>
      <x:c r="E142" s="20">
        <x:f>+D142*0.1</x:f>
        <x:v>0</x:v>
      </x:c>
      <x:c r="F142" s="21">
        <x:f t="shared" ref="F142:F157" si="24">+D142+E142</x:f>
        <x:v>0</x:v>
      </x:c>
      <x:c r="G142" s="22"/>
      <x:c r="H142" s="298" t="s">
        <x:v>148</x:v>
      </x:c>
      <x:c r="I142" s="19"/>
      <x:c r="J142" s="19"/>
      <x:c r="K142" s="20"/>
      <x:c r="L142" s="20">
        <x:f>+K142*0.1</x:f>
        <x:v>0</x:v>
      </x:c>
      <x:c r="M142" s="21">
        <x:f t="shared" ref="M142:M157" si="25">+K142+L142</x:f>
        <x:v>0</x:v>
      </x:c>
      <x:c r="N142" s="22"/>
      <x:c r="V142" s="1"/>
    </x:row>
    <x:row r="143" spans="1:22" s="2" customFormat="1" ht="20.100000000000001" customHeight="1">
      <x:c r="A143" s="299"/>
      <x:c r="B143" s="3"/>
      <x:c r="C143" s="3"/>
      <x:c r="D143" s="4"/>
      <x:c r="E143" s="4"/>
      <x:c r="F143" s="5">
        <x:f t="shared" si="24"/>
        <x:v>0</x:v>
      </x:c>
      <x:c r="G143" s="6"/>
      <x:c r="H143" s="299"/>
      <x:c r="I143" s="3"/>
      <x:c r="J143" s="3"/>
      <x:c r="K143" s="4"/>
      <x:c r="L143" s="4"/>
      <x:c r="M143" s="5">
        <x:f t="shared" si="25"/>
        <x:v>0</x:v>
      </x:c>
      <x:c r="N143" s="6"/>
      <x:c r="V143" s="1"/>
    </x:row>
    <x:row r="144" spans="1:22" s="2" customFormat="1" ht="20.100000000000001" customHeight="1">
      <x:c r="A144" s="299"/>
      <x:c r="B144" s="3"/>
      <x:c r="C144" s="3"/>
      <x:c r="D144" s="4"/>
      <x:c r="E144" s="4">
        <x:f>+D144*0.1</x:f>
        <x:v>0</x:v>
      </x:c>
      <x:c r="F144" s="5">
        <x:f t="shared" si="24"/>
        <x:v>0</x:v>
      </x:c>
      <x:c r="G144" s="6"/>
      <x:c r="H144" s="299"/>
      <x:c r="I144" s="3"/>
      <x:c r="J144" s="3"/>
      <x:c r="K144" s="4"/>
      <x:c r="L144" s="4">
        <x:f>+K144*0.1</x:f>
        <x:v>0</x:v>
      </x:c>
      <x:c r="M144" s="5">
        <x:f t="shared" si="25"/>
        <x:v>0</x:v>
      </x:c>
      <x:c r="N144" s="6"/>
      <x:c r="V144" s="1"/>
    </x:row>
    <x:row r="145" spans="1:22" s="2" customFormat="1" ht="20.100000000000001" customHeight="1">
      <x:c r="A145" s="299"/>
      <x:c r="B145" s="3"/>
      <x:c r="C145" s="3"/>
      <x:c r="D145" s="4"/>
      <x:c r="E145" s="4">
        <x:f>+D145*0.1</x:f>
        <x:v>0</x:v>
      </x:c>
      <x:c r="F145" s="5">
        <x:f t="shared" si="24"/>
        <x:v>0</x:v>
      </x:c>
      <x:c r="G145" s="6"/>
      <x:c r="H145" s="299"/>
      <x:c r="I145" s="3"/>
      <x:c r="J145" s="3"/>
      <x:c r="K145" s="4"/>
      <x:c r="L145" s="4">
        <x:f>+K145*0.1</x:f>
        <x:v>0</x:v>
      </x:c>
      <x:c r="M145" s="5">
        <x:f t="shared" si="25"/>
        <x:v>0</x:v>
      </x:c>
      <x:c r="N145" s="6"/>
      <x:c r="V145" s="1"/>
    </x:row>
    <x:row r="146" spans="1:22" s="2" customFormat="1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 t="shared" si="24"/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 t="shared" si="25"/>
        <x:v>0</x:v>
      </x:c>
      <x:c r="N146" s="6"/>
      <x:c r="V146" s="1"/>
    </x:row>
    <x:row r="147" spans="1:22" s="2" customFormat="1" ht="20.100000000000001" customHeight="1">
      <x:c r="A147" s="299"/>
      <x:c r="B147" s="3"/>
      <x:c r="C147" s="3"/>
      <x:c r="D147" s="4"/>
      <x:c r="E147" s="4">
        <x:f t="shared" ref="E147:E157" si="26">+D147*0.1</x:f>
        <x:v>0</x:v>
      </x:c>
      <x:c r="F147" s="5">
        <x:f t="shared" si="24"/>
        <x:v>0</x:v>
      </x:c>
      <x:c r="G147" s="6"/>
      <x:c r="H147" s="299"/>
      <x:c r="I147" s="3"/>
      <x:c r="J147" s="3"/>
      <x:c r="K147" s="4"/>
      <x:c r="L147" s="4">
        <x:f t="shared" ref="L147:L157" si="27">+K147*0.1</x:f>
        <x:v>0</x:v>
      </x:c>
      <x:c r="M147" s="5">
        <x:f t="shared" si="25"/>
        <x:v>0</x:v>
      </x:c>
      <x:c r="N147" s="6"/>
      <x:c r="V147" s="1"/>
    </x:row>
    <x:row r="148" spans="1:22" s="2" customFormat="1" ht="20.100000000000001" customHeight="1">
      <x:c r="A148" s="299"/>
      <x:c r="B148" s="3"/>
      <x:c r="C148" s="3"/>
      <x:c r="D148" s="4"/>
      <x:c r="E148" s="4">
        <x:f t="shared" si="26"/>
        <x:v>0</x:v>
      </x:c>
      <x:c r="F148" s="5">
        <x:f t="shared" si="24"/>
        <x:v>0</x:v>
      </x:c>
      <x:c r="G148" s="6"/>
      <x:c r="H148" s="299"/>
      <x:c r="I148" s="3"/>
      <x:c r="J148" s="3"/>
      <x:c r="K148" s="4"/>
      <x:c r="L148" s="4">
        <x:f t="shared" si="27"/>
        <x:v>0</x:v>
      </x:c>
      <x:c r="M148" s="5">
        <x:f t="shared" si="25"/>
        <x:v>0</x:v>
      </x:c>
      <x:c r="N148" s="6"/>
      <x:c r="V148" s="1"/>
    </x:row>
    <x:row r="149" spans="1:22" s="2" customFormat="1" ht="20.100000000000001" customHeight="1">
      <x:c r="A149" s="299"/>
      <x:c r="B149" s="3"/>
      <x:c r="C149" s="3"/>
      <x:c r="D149" s="4"/>
      <x:c r="E149" s="4">
        <x:f t="shared" si="26"/>
        <x:v>0</x:v>
      </x:c>
      <x:c r="F149" s="5">
        <x:f t="shared" si="24"/>
        <x:v>0</x:v>
      </x:c>
      <x:c r="G149" s="6"/>
      <x:c r="H149" s="299"/>
      <x:c r="I149" s="3"/>
      <x:c r="J149" s="3"/>
      <x:c r="K149" s="4"/>
      <x:c r="L149" s="4">
        <x:f t="shared" si="27"/>
        <x:v>0</x:v>
      </x:c>
      <x:c r="M149" s="5">
        <x:f t="shared" si="25"/>
        <x:v>0</x:v>
      </x:c>
      <x:c r="N149" s="6"/>
      <x:c r="V149" s="1"/>
    </x:row>
    <x:row r="150" spans="1:22" s="2" customFormat="1" ht="20.100000000000001" customHeight="1">
      <x:c r="A150" s="299"/>
      <x:c r="B150" s="3"/>
      <x:c r="C150" s="3"/>
      <x:c r="D150" s="4"/>
      <x:c r="E150" s="4">
        <x:f t="shared" si="26"/>
        <x:v>0</x:v>
      </x:c>
      <x:c r="F150" s="5">
        <x:f t="shared" si="24"/>
        <x:v>0</x:v>
      </x:c>
      <x:c r="G150" s="6"/>
      <x:c r="H150" s="299"/>
      <x:c r="I150" s="3"/>
      <x:c r="J150" s="3"/>
      <x:c r="K150" s="4"/>
      <x:c r="L150" s="4">
        <x:f t="shared" si="27"/>
        <x:v>0</x:v>
      </x:c>
      <x:c r="M150" s="5">
        <x:f t="shared" si="25"/>
        <x:v>0</x:v>
      </x:c>
      <x:c r="N150" s="6"/>
      <x:c r="V150" s="1"/>
    </x:row>
    <x:row r="151" spans="1:22" s="2" customFormat="1" ht="20.100000000000001" customHeight="1">
      <x:c r="A151" s="299"/>
      <x:c r="B151" s="3"/>
      <x:c r="C151" s="3"/>
      <x:c r="D151" s="4"/>
      <x:c r="E151" s="4">
        <x:f t="shared" si="26"/>
        <x:v>0</x:v>
      </x:c>
      <x:c r="F151" s="5">
        <x:f t="shared" si="24"/>
        <x:v>0</x:v>
      </x:c>
      <x:c r="G151" s="6"/>
      <x:c r="H151" s="299"/>
      <x:c r="I151" s="3"/>
      <x:c r="J151" s="3"/>
      <x:c r="K151" s="4"/>
      <x:c r="L151" s="4">
        <x:f t="shared" si="27"/>
        <x:v>0</x:v>
      </x:c>
      <x:c r="M151" s="5">
        <x:f t="shared" si="25"/>
        <x:v>0</x:v>
      </x:c>
      <x:c r="N151" s="6"/>
      <x:c r="V151" s="1"/>
    </x:row>
    <x:row r="152" spans="1:22" s="2" customFormat="1" ht="20.100000000000001" customHeight="1">
      <x:c r="A152" s="299"/>
      <x:c r="B152" s="3"/>
      <x:c r="C152" s="3"/>
      <x:c r="D152" s="4"/>
      <x:c r="E152" s="4">
        <x:f t="shared" si="26"/>
        <x:v>0</x:v>
      </x:c>
      <x:c r="F152" s="5">
        <x:f t="shared" si="24"/>
        <x:v>0</x:v>
      </x:c>
      <x:c r="G152" s="6"/>
      <x:c r="H152" s="299"/>
      <x:c r="I152" s="3"/>
      <x:c r="J152" s="3"/>
      <x:c r="K152" s="4"/>
      <x:c r="L152" s="4">
        <x:f t="shared" si="27"/>
        <x:v>0</x:v>
      </x:c>
      <x:c r="M152" s="5">
        <x:f t="shared" si="25"/>
        <x:v>0</x:v>
      </x:c>
      <x:c r="N152" s="6"/>
      <x:c r="V152" s="1"/>
    </x:row>
    <x:row r="153" spans="1:22" s="2" customFormat="1" ht="20.100000000000001" customHeight="1">
      <x:c r="A153" s="299"/>
      <x:c r="B153" s="3"/>
      <x:c r="C153" s="3"/>
      <x:c r="D153" s="4"/>
      <x:c r="E153" s="4">
        <x:f t="shared" si="26"/>
        <x:v>0</x:v>
      </x:c>
      <x:c r="F153" s="5">
        <x:f t="shared" si="24"/>
        <x:v>0</x:v>
      </x:c>
      <x:c r="G153" s="6"/>
      <x:c r="H153" s="299"/>
      <x:c r="I153" s="3"/>
      <x:c r="J153" s="3"/>
      <x:c r="K153" s="4"/>
      <x:c r="L153" s="4">
        <x:f t="shared" si="27"/>
        <x:v>0</x:v>
      </x:c>
      <x:c r="M153" s="5">
        <x:f t="shared" si="25"/>
        <x:v>0</x:v>
      </x:c>
      <x:c r="N153" s="6"/>
      <x:c r="V153" s="1"/>
    </x:row>
    <x:row r="154" spans="1:22" s="2" customFormat="1" ht="20.100000000000001" customHeight="1">
      <x:c r="A154" s="299"/>
      <x:c r="B154" s="3"/>
      <x:c r="C154" s="3"/>
      <x:c r="D154" s="4"/>
      <x:c r="E154" s="4">
        <x:f t="shared" si="26"/>
        <x:v>0</x:v>
      </x:c>
      <x:c r="F154" s="5">
        <x:f t="shared" si="24"/>
        <x:v>0</x:v>
      </x:c>
      <x:c r="G154" s="6"/>
      <x:c r="H154" s="299"/>
      <x:c r="I154" s="3"/>
      <x:c r="J154" s="3"/>
      <x:c r="K154" s="4"/>
      <x:c r="L154" s="4">
        <x:f t="shared" si="27"/>
        <x:v>0</x:v>
      </x:c>
      <x:c r="M154" s="5">
        <x:f t="shared" si="25"/>
        <x:v>0</x:v>
      </x:c>
      <x:c r="N154" s="6"/>
      <x:c r="V154" s="1"/>
    </x:row>
    <x:row r="155" spans="1:22" s="2" customFormat="1" ht="20.100000000000001" customHeight="1">
      <x:c r="A155" s="299"/>
      <x:c r="B155" s="3"/>
      <x:c r="C155" s="3"/>
      <x:c r="D155" s="4"/>
      <x:c r="E155" s="4">
        <x:f t="shared" si="26"/>
        <x:v>0</x:v>
      </x:c>
      <x:c r="F155" s="5">
        <x:f t="shared" si="24"/>
        <x:v>0</x:v>
      </x:c>
      <x:c r="G155" s="6"/>
      <x:c r="H155" s="299"/>
      <x:c r="I155" s="3"/>
      <x:c r="J155" s="3"/>
      <x:c r="K155" s="4"/>
      <x:c r="L155" s="4">
        <x:f t="shared" si="27"/>
        <x:v>0</x:v>
      </x:c>
      <x:c r="M155" s="5">
        <x:f t="shared" si="25"/>
        <x:v>0</x:v>
      </x:c>
      <x:c r="N155" s="6"/>
      <x:c r="V155" s="1"/>
    </x:row>
    <x:row r="156" spans="1:22" s="2" customFormat="1" ht="20.100000000000001" customHeight="1">
      <x:c r="A156" s="299"/>
      <x:c r="B156" s="3"/>
      <x:c r="C156" s="3"/>
      <x:c r="D156" s="4"/>
      <x:c r="E156" s="4">
        <x:f t="shared" si="26"/>
        <x:v>0</x:v>
      </x:c>
      <x:c r="F156" s="5">
        <x:f t="shared" si="24"/>
        <x:v>0</x:v>
      </x:c>
      <x:c r="G156" s="6"/>
      <x:c r="H156" s="299"/>
      <x:c r="I156" s="3"/>
      <x:c r="J156" s="3"/>
      <x:c r="K156" s="4"/>
      <x:c r="L156" s="4">
        <x:f t="shared" si="27"/>
        <x:v>0</x:v>
      </x:c>
      <x:c r="M156" s="5">
        <x:f t="shared" si="25"/>
        <x:v>0</x:v>
      </x:c>
      <x:c r="N156" s="6"/>
      <x:c r="V156" s="1"/>
    </x:row>
    <x:row r="157" spans="1:22" s="2" customFormat="1" ht="20.100000000000001" customHeight="1">
      <x:c r="A157" s="300"/>
      <x:c r="B157" s="3"/>
      <x:c r="C157" s="3"/>
      <x:c r="D157" s="4"/>
      <x:c r="E157" s="4">
        <x:f t="shared" si="26"/>
        <x:v>0</x:v>
      </x:c>
      <x:c r="F157" s="5">
        <x:f t="shared" si="24"/>
        <x:v>0</x:v>
      </x:c>
      <x:c r="G157" s="6"/>
      <x:c r="H157" s="300"/>
      <x:c r="I157" s="3"/>
      <x:c r="J157" s="3"/>
      <x:c r="K157" s="4"/>
      <x:c r="L157" s="4">
        <x:f t="shared" si="27"/>
        <x:v>0</x:v>
      </x:c>
      <x:c r="M157" s="5">
        <x:f t="shared" si="25"/>
        <x:v>0</x:v>
      </x:c>
      <x:c r="N157" s="6"/>
      <x:c r="V157" s="1"/>
    </x:row>
    <x:row r="158" spans="1:22" s="2" customFormat="1" ht="20.100000000000001" customHeight="1">
      <x:c r="A158" s="7" t="s">
        <x:v>155</x:v>
      </x:c>
      <x:c r="B158" s="8"/>
      <x:c r="C158" s="8"/>
      <x:c r="D158" s="9">
        <x:f>SUM(D142:D157)</x:f>
        <x:v>0</x:v>
      </x:c>
      <x:c r="E158" s="9">
        <x:f>SUM(E142:E157)</x:f>
        <x:v>0</x:v>
      </x:c>
      <x:c r="F158" s="10">
        <x:f>SUM(F142:F157)</x:f>
        <x:v>0</x:v>
      </x:c>
      <x:c r="G158" s="11"/>
      <x:c r="H158" s="7" t="s">
        <x:v>155</x:v>
      </x:c>
      <x:c r="I158" s="8"/>
      <x:c r="J158" s="8"/>
      <x:c r="K158" s="9">
        <x:f>SUM(K142:K157)</x:f>
        <x:v>0</x:v>
      </x:c>
      <x:c r="L158" s="9">
        <x:f>SUM(L142:L157)</x:f>
        <x:v>0</x:v>
      </x:c>
      <x:c r="M158" s="10">
        <x:f>SUM(M142:M157)</x:f>
        <x:v>0</x:v>
      </x:c>
      <x:c r="N158" s="11"/>
      <x:c r="V158" s="1"/>
    </x:row>
    <x:row r="159" spans="1:22" s="2" customFormat="1" ht="20.100000000000001" customHeight="1">
      <x:c r="A159" s="301" t="s">
        <x:v>153</x:v>
      </x:c>
      <x:c r="B159" s="3" t="s">
        <x:v>1677</x:v>
      </x:c>
      <x:c r="C159" s="3" t="s">
        <x:v>1096</x:v>
      </x:c>
      <x:c r="D159" s="4"/>
      <x:c r="E159" s="4"/>
      <x:c r="F159" s="5">
        <x:f>+D159+E159</x:f>
        <x:v>0</x:v>
      </x:c>
      <x:c r="G159" s="6"/>
      <x:c r="H159" s="301" t="s">
        <x:v>153</x:v>
      </x:c>
      <x:c r="I159" s="3" t="s">
        <x:v>1677</x:v>
      </x:c>
      <x:c r="J159" s="3"/>
      <x:c r="K159" s="4"/>
      <x:c r="L159" s="4"/>
      <x:c r="M159" s="5">
        <x:f>+K159+L159</x:f>
        <x:v>0</x:v>
      </x:c>
      <x:c r="N159" s="6"/>
      <x:c r="V159" s="1"/>
    </x:row>
    <x:row r="160" spans="1:22" s="2" customFormat="1" ht="20.100000000000001" customHeight="1">
      <x:c r="A160" s="299"/>
      <x:c r="B160" s="3"/>
      <x:c r="C160" s="3"/>
      <x:c r="D160" s="4"/>
      <x:c r="E160" s="4">
        <x:f>+D160*0.1</x:f>
        <x:v>0</x:v>
      </x:c>
      <x:c r="F160" s="5">
        <x:f>+D160+E160</x:f>
        <x:v>0</x:v>
      </x:c>
      <x:c r="G160" s="6"/>
      <x:c r="H160" s="299"/>
      <x:c r="I160" s="3"/>
      <x:c r="J160" s="3"/>
      <x:c r="K160" s="4"/>
      <x:c r="L160" s="4">
        <x:f>+K160*0.1</x:f>
        <x:v>0</x:v>
      </x:c>
      <x:c r="M160" s="5">
        <x:f>+K160+L160</x:f>
        <x:v>0</x:v>
      </x:c>
      <x:c r="N160" s="6"/>
      <x:c r="V160" s="1"/>
    </x:row>
    <x:row r="161" spans="1:22" s="2" customFormat="1" ht="20.100000000000001" customHeight="1">
      <x:c r="A161" s="299"/>
      <x:c r="B161" s="3"/>
      <x:c r="C161" s="3"/>
      <x:c r="D161" s="4"/>
      <x:c r="E161" s="4">
        <x:f>+D161*0.1</x:f>
        <x:v>0</x:v>
      </x:c>
      <x:c r="F161" s="5">
        <x:f>+D161+E161</x:f>
        <x:v>0</x:v>
      </x:c>
      <x:c r="G161" s="6"/>
      <x:c r="H161" s="299"/>
      <x:c r="I161" s="3"/>
      <x:c r="J161" s="3"/>
      <x:c r="K161" s="4"/>
      <x:c r="L161" s="4">
        <x:f>+K161*0.1</x:f>
        <x:v>0</x:v>
      </x:c>
      <x:c r="M161" s="5">
        <x:f>+K161+L161</x:f>
        <x:v>0</x:v>
      </x:c>
      <x:c r="N161" s="6"/>
      <x:c r="V161" s="1"/>
    </x:row>
    <x:row r="162" spans="1:22" s="2" customFormat="1" ht="20.100000000000001" customHeight="1">
      <x:c r="A162" s="300"/>
      <x:c r="B162" s="3"/>
      <x:c r="C162" s="3"/>
      <x:c r="D162" s="4"/>
      <x:c r="E162" s="4">
        <x:f>+D162*0.1</x:f>
        <x:v>0</x:v>
      </x:c>
      <x:c r="F162" s="5">
        <x:f>+D162+E162</x:f>
        <x:v>0</x:v>
      </x:c>
      <x:c r="G162" s="6"/>
      <x:c r="H162" s="300"/>
      <x:c r="I162" s="3"/>
      <x:c r="J162" s="3"/>
      <x:c r="K162" s="4"/>
      <x:c r="L162" s="4">
        <x:f>+K162*0.1</x:f>
        <x:v>0</x:v>
      </x:c>
      <x:c r="M162" s="5">
        <x:f>+K162+L162</x:f>
        <x:v>0</x:v>
      </x:c>
      <x:c r="N162" s="6"/>
      <x:c r="V162" s="1"/>
    </x:row>
    <x:row r="163" spans="1:22" s="2" customFormat="1" ht="20.100000000000001" customHeight="1">
      <x:c r="A163" s="7" t="s">
        <x:v>155</x:v>
      </x:c>
      <x:c r="B163" s="8"/>
      <x:c r="C163" s="8"/>
      <x:c r="D163" s="9">
        <x:f>SUM(D159:D162)</x:f>
        <x:v>0</x:v>
      </x:c>
      <x:c r="E163" s="9">
        <x:f>SUM(E159:E162)</x:f>
        <x:v>0</x:v>
      </x:c>
      <x:c r="F163" s="10">
        <x:f>SUM(F159:F162)</x:f>
        <x:v>0</x:v>
      </x:c>
      <x:c r="G163" s="11"/>
      <x:c r="H163" s="7" t="s">
        <x:v>155</x:v>
      </x:c>
      <x:c r="I163" s="8"/>
      <x:c r="J163" s="8"/>
      <x:c r="K163" s="9">
        <x:f>SUM(K159:K162)</x:f>
        <x:v>0</x:v>
      </x:c>
      <x:c r="L163" s="9">
        <x:f>SUM(L159:L162)</x:f>
        <x:v>0</x:v>
      </x:c>
      <x:c r="M163" s="10">
        <x:f>SUM(M159:M162)</x:f>
        <x:v>0</x:v>
      </x:c>
      <x:c r="N163" s="11"/>
      <x:c r="V163" s="1"/>
    </x:row>
    <x:row r="164" spans="1:22" s="2" customFormat="1" ht="20.100000000000001" customHeight="1">
      <x:c r="A164" s="301" t="s">
        <x:v>187</x:v>
      </x:c>
      <x:c r="B164" s="3"/>
      <x:c r="C164" s="3"/>
      <x:c r="D164" s="4"/>
      <x:c r="E164" s="4">
        <x:f>+D164*0.1</x:f>
        <x:v>0</x:v>
      </x:c>
      <x:c r="F164" s="5">
        <x:f>+D164+E164</x:f>
        <x:v>0</x:v>
      </x:c>
      <x:c r="G164" s="6"/>
      <x:c r="H164" s="301" t="s">
        <x:v>187</x:v>
      </x:c>
      <x:c r="I164" s="3"/>
      <x:c r="J164" s="3"/>
      <x:c r="K164" s="4"/>
      <x:c r="L164" s="4">
        <x:f>+K164*0.1</x:f>
        <x:v>0</x:v>
      </x:c>
      <x:c r="M164" s="5">
        <x:f>+K164+L164</x:f>
        <x:v>0</x:v>
      </x:c>
      <x:c r="N164" s="6"/>
      <x:c r="V164" s="1"/>
    </x:row>
    <x:row r="165" spans="1:22" s="2" customFormat="1" ht="20.100000000000001" customHeight="1">
      <x:c r="A165" s="299"/>
      <x:c r="B165" s="3"/>
      <x:c r="C165" s="3"/>
      <x:c r="D165" s="4"/>
      <x:c r="E165" s="4">
        <x:f>+D165*0.1</x:f>
        <x:v>0</x:v>
      </x:c>
      <x:c r="F165" s="5">
        <x:f>+D165+E165</x:f>
        <x:v>0</x:v>
      </x:c>
      <x:c r="G165" s="6"/>
      <x:c r="H165" s="299"/>
      <x:c r="I165" s="3"/>
      <x:c r="J165" s="3"/>
      <x:c r="K165" s="4"/>
      <x:c r="L165" s="4">
        <x:f>+K165*0.1</x:f>
        <x:v>0</x:v>
      </x:c>
      <x:c r="M165" s="5">
        <x:f>+K165+L165</x:f>
        <x:v>0</x:v>
      </x:c>
      <x:c r="N165" s="6"/>
      <x:c r="V165" s="1"/>
    </x:row>
    <x:row r="166" spans="1:22" s="2" customFormat="1" ht="20.100000000000001" customHeight="1">
      <x:c r="A166" s="299"/>
      <x:c r="B166" s="3"/>
      <x:c r="C166" s="3"/>
      <x:c r="D166" s="4"/>
      <x:c r="E166" s="4">
        <x:f>+D166*0.1</x:f>
        <x:v>0</x:v>
      </x:c>
      <x:c r="F166" s="5">
        <x:f>+D166+E166</x:f>
        <x:v>0</x:v>
      </x:c>
      <x:c r="G166" s="6"/>
      <x:c r="H166" s="299"/>
      <x:c r="I166" s="3"/>
      <x:c r="J166" s="3"/>
      <x:c r="K166" s="4"/>
      <x:c r="L166" s="4">
        <x:f>+K166*0.1</x:f>
        <x:v>0</x:v>
      </x:c>
      <x:c r="M166" s="5">
        <x:f>+K166+L166</x:f>
        <x:v>0</x:v>
      </x:c>
      <x:c r="N166" s="6"/>
      <x:c r="V166" s="1"/>
    </x:row>
    <x:row r="167" spans="1:22" s="2" customFormat="1" ht="20.100000000000001" customHeight="1">
      <x:c r="A167" s="300"/>
      <x:c r="B167" s="3"/>
      <x:c r="C167" s="3"/>
      <x:c r="D167" s="4"/>
      <x:c r="E167" s="4">
        <x:f>+D167*0.1</x:f>
        <x:v>0</x:v>
      </x:c>
      <x:c r="F167" s="5">
        <x:f>+D167+E167</x:f>
        <x:v>0</x:v>
      </x:c>
      <x:c r="G167" s="6"/>
      <x:c r="H167" s="300"/>
      <x:c r="I167" s="3"/>
      <x:c r="J167" s="3"/>
      <x:c r="K167" s="4"/>
      <x:c r="L167" s="4">
        <x:f>+K167*0.1</x:f>
        <x:v>0</x:v>
      </x:c>
      <x:c r="M167" s="5">
        <x:f>+K167+L167</x:f>
        <x:v>0</x:v>
      </x:c>
      <x:c r="N167" s="6"/>
      <x:c r="V167" s="1"/>
    </x:row>
    <x:row r="168" spans="1:22" s="2" customFormat="1" ht="20.100000000000001" customHeight="1">
      <x:c r="A168" s="7" t="s">
        <x:v>155</x:v>
      </x:c>
      <x:c r="B168" s="8"/>
      <x:c r="C168" s="8"/>
      <x:c r="D168" s="9">
        <x:f>SUM(D164:D167)</x:f>
        <x:v>0</x:v>
      </x:c>
      <x:c r="E168" s="9">
        <x:f>SUM(E164:E167)</x:f>
        <x:v>0</x:v>
      </x:c>
      <x:c r="F168" s="10">
        <x:f>SUM(F164:F167)</x:f>
        <x:v>0</x:v>
      </x:c>
      <x:c r="G168" s="11"/>
      <x:c r="H168" s="7" t="s">
        <x:v>155</x:v>
      </x:c>
      <x:c r="I168" s="8"/>
      <x:c r="J168" s="8"/>
      <x:c r="K168" s="9">
        <x:f>SUM(K164:K167)</x:f>
        <x:v>0</x:v>
      </x:c>
      <x:c r="L168" s="9">
        <x:f>SUM(L164:L167)</x:f>
        <x:v>0</x:v>
      </x:c>
      <x:c r="M168" s="10">
        <x:f>SUM(M164:M167)</x:f>
        <x:v>0</x:v>
      </x:c>
      <x:c r="N168" s="11"/>
      <x:c r="V168" s="1"/>
    </x:row>
    <x:row r="169" spans="1:22" s="2" customFormat="1" ht="20.100000000000001" customHeight="1">
      <x:c r="A169" s="301" t="s">
        <x:v>149</x:v>
      </x:c>
      <x:c r="B169" s="3" t="s">
        <x:v>177</x:v>
      </x:c>
      <x:c r="C169" s="3" t="s">
        <x:v>149</x:v>
      </x:c>
      <x:c r="D169" s="4"/>
      <x:c r="E169" s="4"/>
      <x:c r="F169" s="5">
        <x:f t="shared" ref="F169:F176" si="28">+D169+E169</x:f>
        <x:v>0</x:v>
      </x:c>
      <x:c r="G169" s="6"/>
      <x:c r="H169" s="301" t="s">
        <x:v>149</x:v>
      </x:c>
      <x:c r="I169" s="3"/>
      <x:c r="J169" s="3" t="s">
        <x:v>149</x:v>
      </x:c>
      <x:c r="K169" s="4"/>
      <x:c r="L169" s="4"/>
      <x:c r="M169" s="5">
        <x:f t="shared" ref="M169:M176" si="29">+K169+L169</x:f>
        <x:v>0</x:v>
      </x:c>
      <x:c r="N169" s="6"/>
      <x:c r="V169" s="1"/>
    </x:row>
    <x:row r="170" spans="1:22" s="2" customFormat="1" ht="20.100000000000001" customHeight="1">
      <x:c r="A170" s="299"/>
      <x:c r="B170" s="3"/>
      <x:c r="C170" s="3"/>
      <x:c r="D170" s="4"/>
      <x:c r="E170" s="4">
        <x:f>+D170*0.1</x:f>
        <x:v>0</x:v>
      </x:c>
      <x:c r="F170" s="5">
        <x:f t="shared" si="28"/>
        <x:v>0</x:v>
      </x:c>
      <x:c r="G170" s="6"/>
      <x:c r="H170" s="299"/>
      <x:c r="I170" s="3" t="s">
        <x:v>1341</x:v>
      </x:c>
      <x:c r="J170" s="3" t="s">
        <x:v>1496</x:v>
      </x:c>
      <x:c r="K170" s="4"/>
      <x:c r="L170" s="4">
        <x:f>+K170*0.1</x:f>
        <x:v>0</x:v>
      </x:c>
      <x:c r="M170" s="5">
        <x:f t="shared" si="29"/>
        <x:v>0</x:v>
      </x:c>
      <x:c r="N170" s="6"/>
      <x:c r="V170" s="1"/>
    </x:row>
    <x:row r="171" spans="1:22" s="2" customFormat="1" ht="20.100000000000001" customHeight="1">
      <x:c r="A171" s="299"/>
      <x:c r="B171" s="3"/>
      <x:c r="C171" s="3"/>
      <x:c r="D171" s="4"/>
      <x:c r="E171" s="4"/>
      <x:c r="F171" s="5">
        <x:f t="shared" si="28"/>
        <x:v>0</x:v>
      </x:c>
      <x:c r="G171" s="6"/>
      <x:c r="H171" s="299"/>
      <x:c r="I171" s="3"/>
      <x:c r="J171" s="3"/>
      <x:c r="K171" s="4"/>
      <x:c r="L171" s="4"/>
      <x:c r="M171" s="5">
        <x:f t="shared" si="29"/>
        <x:v>0</x:v>
      </x:c>
      <x:c r="N171" s="6"/>
      <x:c r="V171" s="1"/>
    </x:row>
    <x:row r="172" spans="1:22" s="2" customFormat="1" ht="20.100000000000001" customHeight="1">
      <x:c r="A172" s="299"/>
      <x:c r="B172" s="3"/>
      <x:c r="C172" s="3"/>
      <x:c r="D172" s="4"/>
      <x:c r="E172" s="4">
        <x:f>+D172*0.1</x:f>
        <x:v>0</x:v>
      </x:c>
      <x:c r="F172" s="5">
        <x:f t="shared" si="28"/>
        <x:v>0</x:v>
      </x:c>
      <x:c r="G172" s="6"/>
      <x:c r="H172" s="299"/>
      <x:c r="I172" s="3"/>
      <x:c r="J172" s="3"/>
      <x:c r="K172" s="4"/>
      <x:c r="L172" s="4">
        <x:f>+K172*0.1</x:f>
        <x:v>0</x:v>
      </x:c>
      <x:c r="M172" s="5">
        <x:f t="shared" si="29"/>
        <x:v>0</x:v>
      </x:c>
      <x:c r="N172" s="6"/>
      <x:c r="V172" s="1"/>
    </x:row>
    <x:row r="173" spans="1:22" s="2" customFormat="1" ht="20.100000000000001" customHeight="1">
      <x:c r="A173" s="299"/>
      <x:c r="B173" s="3"/>
      <x:c r="C173" s="3"/>
      <x:c r="D173" s="4"/>
      <x:c r="E173" s="4">
        <x:f>+D173*0.1</x:f>
        <x:v>0</x:v>
      </x:c>
      <x:c r="F173" s="5">
        <x:f t="shared" si="28"/>
        <x:v>0</x:v>
      </x:c>
      <x:c r="G173" s="6"/>
      <x:c r="H173" s="299"/>
      <x:c r="I173" s="3"/>
      <x:c r="J173" s="3"/>
      <x:c r="K173" s="4"/>
      <x:c r="L173" s="4">
        <x:f>+K173*0.1</x:f>
        <x:v>0</x:v>
      </x:c>
      <x:c r="M173" s="5">
        <x:f t="shared" si="29"/>
        <x:v>0</x:v>
      </x:c>
      <x:c r="N173" s="6"/>
      <x:c r="V173" s="1"/>
    </x:row>
    <x:row r="174" spans="1:22" s="2" customFormat="1" ht="20.100000000000001" customHeight="1">
      <x:c r="A174" s="299"/>
      <x:c r="B174" s="3"/>
      <x:c r="C174" s="3"/>
      <x:c r="D174" s="4"/>
      <x:c r="E174" s="4">
        <x:f>+D174*0.1</x:f>
        <x:v>0</x:v>
      </x:c>
      <x:c r="F174" s="5">
        <x:f t="shared" si="28"/>
        <x:v>0</x:v>
      </x:c>
      <x:c r="G174" s="6"/>
      <x:c r="H174" s="299"/>
      <x:c r="I174" s="3"/>
      <x:c r="J174" s="3"/>
      <x:c r="K174" s="4"/>
      <x:c r="L174" s="4">
        <x:f>+K174*0.1</x:f>
        <x:v>0</x:v>
      </x:c>
      <x:c r="M174" s="5">
        <x:f t="shared" si="29"/>
        <x:v>0</x:v>
      </x:c>
      <x:c r="N174" s="6"/>
      <x:c r="V174" s="1"/>
    </x:row>
    <x:row r="175" spans="1:22" s="2" customFormat="1" ht="20.100000000000001" customHeight="1">
      <x:c r="A175" s="299"/>
      <x:c r="B175" s="3"/>
      <x:c r="C175" s="3"/>
      <x:c r="D175" s="4"/>
      <x:c r="E175" s="4">
        <x:f t="shared" ref="E175:E178" si="30">+D175*0.1</x:f>
        <x:v>0</x:v>
      </x:c>
      <x:c r="F175" s="5">
        <x:f t="shared" si="28"/>
        <x:v>0</x:v>
      </x:c>
      <x:c r="G175" s="6"/>
      <x:c r="H175" s="299"/>
      <x:c r="I175" s="3"/>
      <x:c r="J175" s="3"/>
      <x:c r="K175" s="4"/>
      <x:c r="L175" s="4">
        <x:f t="shared" ref="L175:L178" si="31">+K175*0.1</x:f>
        <x:v>0</x:v>
      </x:c>
      <x:c r="M175" s="5">
        <x:f t="shared" si="29"/>
        <x:v>0</x:v>
      </x:c>
      <x:c r="N175" s="6"/>
      <x:c r="V175" s="1"/>
    </x:row>
    <x:row r="176" spans="1:22" s="2" customFormat="1" ht="20.100000000000001" customHeight="1">
      <x:c r="A176" s="299"/>
      <x:c r="B176" s="3"/>
      <x:c r="C176" s="3"/>
      <x:c r="D176" s="4"/>
      <x:c r="E176" s="4">
        <x:f t="shared" si="30"/>
        <x:v>0</x:v>
      </x:c>
      <x:c r="F176" s="5">
        <x:f t="shared" si="28"/>
        <x:v>0</x:v>
      </x:c>
      <x:c r="G176" s="6"/>
      <x:c r="H176" s="299"/>
      <x:c r="I176" s="3"/>
      <x:c r="J176" s="3"/>
      <x:c r="K176" s="4"/>
      <x:c r="L176" s="4">
        <x:f t="shared" si="31"/>
        <x:v>0</x:v>
      </x:c>
      <x:c r="M176" s="5">
        <x:f t="shared" si="29"/>
        <x:v>0</x:v>
      </x:c>
      <x:c r="N176" s="6"/>
      <x:c r="V176" s="1"/>
    </x:row>
    <x:row r="177" spans="1:22" s="2" customFormat="1" ht="20.100000000000001" customHeight="1">
      <x:c r="A177" s="299"/>
      <x:c r="B177" s="3"/>
      <x:c r="C177" s="3"/>
      <x:c r="D177" s="4"/>
      <x:c r="E177" s="4">
        <x:f t="shared" si="30"/>
        <x:v>0</x:v>
      </x:c>
      <x:c r="F177" s="5"/>
      <x:c r="G177" s="6"/>
      <x:c r="H177" s="299"/>
      <x:c r="I177" s="3"/>
      <x:c r="J177" s="3"/>
      <x:c r="K177" s="4"/>
      <x:c r="L177" s="4">
        <x:f t="shared" si="31"/>
        <x:v>0</x:v>
      </x:c>
      <x:c r="M177" s="5"/>
      <x:c r="N177" s="6"/>
      <x:c r="V177" s="1"/>
    </x:row>
    <x:row r="178" spans="1:22" s="2" customFormat="1" ht="20.100000000000001" customHeight="1">
      <x:c r="A178" s="300"/>
      <x:c r="B178" s="3"/>
      <x:c r="C178" s="3"/>
      <x:c r="D178" s="4"/>
      <x:c r="E178" s="4">
        <x:f t="shared" si="30"/>
        <x:v>0</x:v>
      </x:c>
      <x:c r="F178" s="5">
        <x:f>+D178+E178</x:f>
        <x:v>0</x:v>
      </x:c>
      <x:c r="G178" s="6"/>
      <x:c r="H178" s="300"/>
      <x:c r="I178" s="3"/>
      <x:c r="J178" s="3"/>
      <x:c r="K178" s="4"/>
      <x:c r="L178" s="4">
        <x:f t="shared" si="31"/>
        <x:v>0</x:v>
      </x:c>
      <x:c r="M178" s="5">
        <x:f>+K178+L178</x:f>
        <x:v>0</x:v>
      </x:c>
      <x:c r="N178" s="6"/>
      <x:c r="V178" s="1"/>
    </x:row>
    <x:row r="179" spans="1:22" s="2" customFormat="1" ht="20.100000000000001" customHeight="1">
      <x:c r="A179" s="7" t="s">
        <x:v>155</x:v>
      </x:c>
      <x:c r="B179" s="8"/>
      <x:c r="C179" s="8"/>
      <x:c r="D179" s="9">
        <x:f>SUM(D169:D178)</x:f>
        <x:v>0</x:v>
      </x:c>
      <x:c r="E179" s="9">
        <x:f>SUM(E169:E178)</x:f>
        <x:v>0</x:v>
      </x:c>
      <x:c r="F179" s="10">
        <x:f>SUM(F169:F178)</x:f>
        <x:v>0</x:v>
      </x:c>
      <x:c r="G179" s="11"/>
      <x:c r="H179" s="7" t="s">
        <x:v>155</x:v>
      </x:c>
      <x:c r="I179" s="8"/>
      <x:c r="J179" s="8"/>
      <x:c r="K179" s="9">
        <x:f>SUM(K169:K178)</x:f>
        <x:v>0</x:v>
      </x:c>
      <x:c r="L179" s="9">
        <x:f>SUM(L169:L178)</x:f>
        <x:v>0</x:v>
      </x:c>
      <x:c r="M179" s="10">
        <x:f>SUM(M169:M178)</x:f>
        <x:v>0</x:v>
      </x:c>
      <x:c r="N179" s="11"/>
      <x:c r="V179" s="1"/>
    </x:row>
    <x:row r="180" spans="1:22" s="2" customFormat="1" ht="20.100000000000001" customHeight="1">
      <x:c r="A180" s="12" t="s">
        <x:v>1690</x:v>
      </x:c>
      <x:c r="B180" s="13"/>
      <x:c r="C180" s="13"/>
      <x:c r="D180" s="14">
        <x:f>+D158+D163+D168+D179</x:f>
        <x:v>0</x:v>
      </x:c>
      <x:c r="E180" s="14">
        <x:f>+E158+E163+E168+E179</x:f>
        <x:v>0</x:v>
      </x:c>
      <x:c r="F180" s="15">
        <x:f>+F158+F163+F168+F179</x:f>
        <x:v>0</x:v>
      </x:c>
      <x:c r="G180" s="16"/>
      <x:c r="H180" s="12" t="s">
        <x:v>1690</x:v>
      </x:c>
      <x:c r="I180" s="13"/>
      <x:c r="J180" s="13"/>
      <x:c r="K180" s="14">
        <x:f>+K158+K163+K168+K179</x:f>
        <x:v>0</x:v>
      </x:c>
      <x:c r="L180" s="14">
        <x:f>+L158+L163+L168+L179</x:f>
        <x:v>0</x:v>
      </x:c>
      <x:c r="M180" s="15">
        <x:f>+M158+M163+M168+M179</x:f>
        <x:v>0</x:v>
      </x:c>
      <x:c r="N180" s="16"/>
      <x:c r="V180" s="1"/>
    </x:row>
    <x:row r="181" spans="1:22" s="2" customFormat="1" ht="20.100000000000001" customHeight="1">
      <x:c r="A181" s="23" t="s">
        <x:v>35</x:v>
      </x:c>
      <x:c r="B181" s="24"/>
      <x:c r="C181" s="24"/>
      <x:c r="D181" s="25">
        <x:f>+D141-D180</x:f>
        <x:v>10699640</x:v>
      </x:c>
      <x:c r="E181" s="25">
        <x:f>+E141-E180</x:f>
        <x:v>240360</x:v>
      </x:c>
      <x:c r="F181" s="26">
        <x:f>+F141-F180</x:f>
        <x:v>10940000</x:v>
      </x:c>
      <x:c r="G181" s="27"/>
      <x:c r="H181" s="23" t="s">
        <x:v>35</x:v>
      </x:c>
      <x:c r="I181" s="24"/>
      <x:c r="J181" s="24"/>
      <x:c r="K181" s="25">
        <x:f>+K141-K180</x:f>
        <x:v>0</x:v>
      </x:c>
      <x:c r="L181" s="25">
        <x:f>+L141-L180</x:f>
        <x:v>0</x:v>
      </x:c>
      <x:c r="M181" s="26">
        <x:f>+M141-M180</x:f>
        <x:v>0</x:v>
      </x:c>
      <x:c r="N181" s="27"/>
      <x:c r="V181" s="1"/>
    </x:row>
  </x:sheetData>
  <x:mergeCells count="42">
    <x:mergeCell ref="A1:N1"/>
    <x:mergeCell ref="O1:S1"/>
    <x:mergeCell ref="A2:G2"/>
    <x:mergeCell ref="H2:N2"/>
    <x:mergeCell ref="A5:A18"/>
    <x:mergeCell ref="H5:H18"/>
    <x:mergeCell ref="A20:A25"/>
    <x:mergeCell ref="H20:H25"/>
    <x:mergeCell ref="A27:A29"/>
    <x:mergeCell ref="H27:H29"/>
    <x:mergeCell ref="A31:A43"/>
    <x:mergeCell ref="H31:H43"/>
    <x:mergeCell ref="A47:G47"/>
    <x:mergeCell ref="H47:N47"/>
    <x:mergeCell ref="A50:A66"/>
    <x:mergeCell ref="H50:H66"/>
    <x:mergeCell ref="A68:A71"/>
    <x:mergeCell ref="H68:H71"/>
    <x:mergeCell ref="A96:G96"/>
    <x:mergeCell ref="H96:N96"/>
    <x:mergeCell ref="A99:A114"/>
    <x:mergeCell ref="H99:H114"/>
    <x:mergeCell ref="A73:A78"/>
    <x:mergeCell ref="H73:H78"/>
    <x:mergeCell ref="A80:A92"/>
    <x:mergeCell ref="H80:H92"/>
    <x:mergeCell ref="A116:A119"/>
    <x:mergeCell ref="H116:H119"/>
    <x:mergeCell ref="A121:A124"/>
    <x:mergeCell ref="H121:H124"/>
    <x:mergeCell ref="A126:A135"/>
    <x:mergeCell ref="H126:H135"/>
    <x:mergeCell ref="A164:A167"/>
    <x:mergeCell ref="H164:H167"/>
    <x:mergeCell ref="A169:A178"/>
    <x:mergeCell ref="H169:H178"/>
    <x:mergeCell ref="A139:G139"/>
    <x:mergeCell ref="H139:N139"/>
    <x:mergeCell ref="A142:A157"/>
    <x:mergeCell ref="H142:H157"/>
    <x:mergeCell ref="A159:A162"/>
    <x:mergeCell ref="H159:H162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3" manualBreakCount="3">
    <x:brk id="46" min="0" max="1048575" man="1" pt="0"/>
    <x:brk id="95" min="0" max="1048575" man="1" pt="0"/>
    <x:brk id="138" min="0" max="1048575" man="1" pt="0"/>
  </x:rowBreaks>
</x:worksheet>
</file>

<file path=xl/worksheets/sheet7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5"/>
  <x:dimension ref="A1:T115"/>
  <x:sheetViews>
    <x:sheetView tabSelected="1" view="pageBreakPreview" topLeftCell="A1" zoomScaleNormal="100" zoomScaleSheetLayoutView="100" workbookViewId="0">
      <x:selection activeCell="K11" activeCellId="0" sqref="K11:K11"/>
    </x:sheetView>
  </x:sheetViews>
  <x:sheetFormatPr defaultColWidth="9.00390625" defaultRowHeight="16.399999999999999"/>
  <x:cols>
    <x:col min="1" max="1" width="7.875" style="1" customWidth="1"/>
    <x:col min="2" max="2" width="24.25" style="1" customWidth="1"/>
    <x:col min="3" max="3" width="10" style="1" bestFit="1" customWidth="1"/>
    <x:col min="4" max="4" width="12.875" style="1" customWidth="1"/>
    <x:col min="5" max="5" width="16.625" style="1" customWidth="1"/>
    <x:col min="6" max="9" width="15.875" style="2" customWidth="1"/>
    <x:col min="10" max="10" width="15.875" style="1" customWidth="1"/>
    <x:col min="11" max="11" width="17.625" style="1" customWidth="1"/>
    <x:col min="12" max="12" width="19" style="2" customWidth="1"/>
  </x:cols>
  <x:sheetData>
    <x:row r="1" spans="1:12" ht="90" customHeight="1">
      <x:c r="A1" s="286" t="s">
        <x:v>1820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</x:row>
    <x:row r="2" spans="2:20" ht="20.100000000000001" customHeight="1">
      <x:c r="B2" s="281"/>
      <x:c r="C2" s="281"/>
      <x:c r="D2" s="281"/>
      <x:c r="E2" s="281"/>
      <x:c r="F2" s="281"/>
      <x:c r="G2" s="281"/>
      <x:c r="H2" s="281"/>
      <x:c r="I2" s="281"/>
      <x:c r="J2" s="281"/>
      <x:c r="K2" s="281"/>
      <x:c r="L2" s="70" t="s">
        <x:v>1036</x:v>
      </x:c>
      <x:c r="O2" s="287" t="s">
        <x:v>214</x:v>
      </x:c>
      <x:c r="P2" s="72" t="s">
        <x:v>1045</x:v>
      </x:c>
      <x:c r="Q2" s="72" t="s">
        <x:v>220</x:v>
      </x:c>
      <x:c r="R2" s="72" t="s">
        <x:v>206</x:v>
      </x:c>
      <x:c r="S2" s="72" t="s">
        <x:v>199</x:v>
      </x:c>
      <x:c r="T2" s="72" t="s">
        <x:v>293</x:v>
      </x:c>
    </x:row>
    <x:row r="3" spans="1:20" ht="30" customHeight="1">
      <x:c r="A3" s="288" t="s">
        <x:v>218</x:v>
      </x:c>
      <x:c r="B3" s="288" t="s">
        <x:v>190</x:v>
      </x:c>
      <x:c r="C3" s="288" t="s">
        <x:v>204</x:v>
      </x:c>
      <x:c r="D3" s="289" t="s">
        <x:v>368</x:v>
      </x:c>
      <x:c r="E3" s="289" t="s">
        <x:v>395</x:v>
      </x:c>
      <x:c r="F3" s="291" t="s">
        <x:v>213</x:v>
      </x:c>
      <x:c r="G3" s="292"/>
      <x:c r="H3" s="292"/>
      <x:c r="I3" s="292"/>
      <x:c r="J3" s="293"/>
      <x:c r="K3" s="289" t="s">
        <x:v>639</x:v>
      </x:c>
      <x:c r="L3" s="294" t="s">
        <x:v>154</x:v>
      </x:c>
      <x:c r="O3" s="287"/>
      <x:c r="P3" s="284"/>
      <x:c r="Q3" s="284"/>
      <x:c r="R3" s="284"/>
      <x:c r="S3" s="284"/>
      <x:c r="T3" s="284"/>
    </x:row>
    <x:row r="4" spans="1:20" ht="30" customHeight="1">
      <x:c r="A4" s="288"/>
      <x:c r="B4" s="288"/>
      <x:c r="C4" s="288"/>
      <x:c r="D4" s="290"/>
      <x:c r="E4" s="290"/>
      <x:c r="F4" s="31" t="s">
        <x:v>148</x:v>
      </x:c>
      <x:c r="G4" s="31" t="s">
        <x:v>153</x:v>
      </x:c>
      <x:c r="H4" s="31" t="s">
        <x:v>187</x:v>
      </x:c>
      <x:c r="I4" s="31" t="s">
        <x:v>149</x:v>
      </x:c>
      <x:c r="J4" s="283" t="s">
        <x:v>202</x:v>
      </x:c>
      <x:c r="K4" s="290"/>
      <x:c r="L4" s="295"/>
      <x:c r="O4" s="287"/>
      <x:c r="P4" s="285"/>
      <x:c r="Q4" s="285"/>
      <x:c r="R4" s="285"/>
      <x:c r="S4" s="285"/>
      <x:c r="T4" s="285"/>
    </x:row>
    <x:row r="5" spans="1:20" ht="30" customHeight="1">
      <x:c r="A5" s="60">
        <x:v>1</x:v>
      </x:c>
      <x:c r="B5" s="63"/>
      <x:c r="C5" s="63"/>
      <x:c r="D5" s="115"/>
      <x:c r="E5" s="74"/>
      <x:c r="F5" s="67"/>
      <x:c r="G5" s="67"/>
      <x:c r="H5" s="67"/>
      <x:c r="I5" s="67"/>
      <x:c r="J5" s="75"/>
      <x:c r="K5" s="141"/>
      <x:c r="L5" s="204"/>
      <x:c r="O5" s="287"/>
      <x:c r="P5" s="73" t="s">
        <x:v>215</x:v>
      </x:c>
      <x:c r="Q5" s="73" t="s">
        <x:v>215</x:v>
      </x:c>
      <x:c r="R5" s="73" t="s">
        <x:v>215</x:v>
      </x:c>
      <x:c r="S5" s="73" t="s">
        <x:v>215</x:v>
      </x:c>
      <x:c r="T5" s="73" t="s">
        <x:v>215</x:v>
      </x:c>
    </x:row>
    <x:row r="6" spans="1:12" ht="30" customHeight="1">
      <x:c r="A6" s="63">
        <x:v>2</x:v>
      </x:c>
      <x:c r="B6" s="63"/>
      <x:c r="C6" s="63"/>
      <x:c r="D6" s="115"/>
      <x:c r="E6" s="74"/>
      <x:c r="F6" s="59"/>
      <x:c r="G6" s="59"/>
      <x:c r="H6" s="59"/>
      <x:c r="I6" s="59"/>
      <x:c r="J6" s="75"/>
      <x:c r="K6" s="140"/>
      <x:c r="L6" s="204"/>
    </x:row>
    <x:row r="7" spans="1:12" ht="30" customHeight="1">
      <x:c r="A7" s="63">
        <x:v>3</x:v>
      </x:c>
      <x:c r="B7" s="63"/>
      <x:c r="C7" s="63"/>
      <x:c r="D7" s="115"/>
      <x:c r="E7" s="74"/>
      <x:c r="F7" s="59"/>
      <x:c r="G7" s="59"/>
      <x:c r="H7" s="59"/>
      <x:c r="I7" s="59"/>
      <x:c r="J7" s="75"/>
      <x:c r="K7" s="141"/>
      <x:c r="L7" s="205"/>
    </x:row>
    <x:row r="8" spans="1:12" ht="30" customHeight="1">
      <x:c r="A8" s="63">
        <x:v>4</x:v>
      </x:c>
      <x:c r="B8" s="63"/>
      <x:c r="C8" s="63"/>
      <x:c r="D8" s="115"/>
      <x:c r="E8" s="74"/>
      <x:c r="F8" s="59"/>
      <x:c r="G8" s="59"/>
      <x:c r="H8" s="59"/>
      <x:c r="I8" s="59"/>
      <x:c r="J8" s="75"/>
      <x:c r="K8" s="141"/>
      <x:c r="L8" s="204"/>
    </x:row>
    <x:row r="9" spans="1:12" ht="30" customHeight="1">
      <x:c r="A9" s="63">
        <x:v>5</x:v>
      </x:c>
      <x:c r="B9" s="63"/>
      <x:c r="C9" s="63"/>
      <x:c r="D9" s="115"/>
      <x:c r="E9" s="74"/>
      <x:c r="F9" s="59"/>
      <x:c r="G9" s="59"/>
      <x:c r="H9" s="59"/>
      <x:c r="I9" s="59"/>
      <x:c r="J9" s="75"/>
      <x:c r="K9" s="141"/>
      <x:c r="L9" s="205"/>
    </x:row>
    <x:row r="10" spans="1:12" ht="30" customHeight="1">
      <x:c r="A10" s="63">
        <x:v>6</x:v>
      </x:c>
      <x:c r="B10" s="63"/>
      <x:c r="C10" s="63"/>
      <x:c r="D10" s="115"/>
      <x:c r="E10" s="74"/>
      <x:c r="F10" s="59"/>
      <x:c r="G10" s="59"/>
      <x:c r="H10" s="59"/>
      <x:c r="I10" s="59"/>
      <x:c r="J10" s="75"/>
      <x:c r="K10" s="141"/>
      <x:c r="L10" s="204"/>
    </x:row>
    <x:row r="11" spans="1:12" ht="30" customHeight="1">
      <x:c r="A11" s="63">
        <x:v>7</x:v>
      </x:c>
      <x:c r="B11" s="63"/>
      <x:c r="C11" s="63"/>
      <x:c r="D11" s="115"/>
      <x:c r="E11" s="74"/>
      <x:c r="F11" s="59"/>
      <x:c r="G11" s="59"/>
      <x:c r="H11" s="59"/>
      <x:c r="I11" s="59"/>
      <x:c r="J11" s="75"/>
      <x:c r="K11" s="141"/>
      <x:c r="L11" s="204"/>
    </x:row>
    <x:row r="12" spans="1:12" ht="30" customHeight="1">
      <x:c r="A12" s="63">
        <x:v>8</x:v>
      </x:c>
      <x:c r="B12" s="63"/>
      <x:c r="C12" s="63"/>
      <x:c r="D12" s="115"/>
      <x:c r="E12" s="74"/>
      <x:c r="F12" s="59"/>
      <x:c r="G12" s="59"/>
      <x:c r="H12" s="59"/>
      <x:c r="I12" s="59"/>
      <x:c r="J12" s="75"/>
      <x:c r="K12" s="141"/>
      <x:c r="L12" s="204"/>
    </x:row>
    <x:row r="13" spans="1:12" ht="30" customHeight="1">
      <x:c r="A13" s="64"/>
      <x:c r="B13" s="64" t="s">
        <x:v>1690</x:v>
      </x:c>
      <x:c r="C13" s="64"/>
      <x:c r="D13" s="64"/>
      <x:c r="E13" s="68">
        <x:f t="shared" ref="E13:K13" si="0">SUM(E5:E12)</x:f>
        <x:v>0</x:v>
      </x:c>
      <x:c r="F13" s="66">
        <x:f t="shared" si="0"/>
        <x:v>0</x:v>
      </x:c>
      <x:c r="G13" s="66">
        <x:f t="shared" si="0"/>
        <x:v>0</x:v>
      </x:c>
      <x:c r="H13" s="66">
        <x:f t="shared" si="0"/>
        <x:v>0</x:v>
      </x:c>
      <x:c r="I13" s="66">
        <x:f t="shared" si="0"/>
        <x:v>0</x:v>
      </x:c>
      <x:c r="J13" s="69">
        <x:f t="shared" si="0"/>
        <x:v>0</x:v>
      </x:c>
      <x:c r="K13" s="142">
        <x:f t="shared" si="0"/>
        <x:v>0</x:v>
      </x:c>
      <x:c r="L13" s="66"/>
    </x:row>
    <x:row r="25" spans="1:19" s="2" customFormat="1">
      <x:c r="A25" s="1"/>
      <x:c r="B25" s="1"/>
      <x:c r="C25" s="1"/>
      <x:c r="D25" s="1"/>
      <x:c r="E25" s="1"/>
      <x:c r="J25" s="1"/>
      <x:c r="K25" s="1"/>
      <x:c r="M25" s="1"/>
      <x:c r="N25" s="1"/>
      <x:c r="O25" s="1"/>
      <x:c r="P25" s="1"/>
      <x:c r="Q25" s="1"/>
      <x:c r="R25" s="1"/>
      <x:c r="S25" s="1"/>
    </x:row>
    <x:row r="115" spans="4:4">
      <x:c r="D115" s="1">
        <x:v>968540</x:v>
      </x:c>
    </x:row>
  </x:sheetData>
  <x:mergeCells count="15">
    <x:mergeCell ref="T3:T4"/>
    <x:mergeCell ref="P3:P4"/>
    <x:mergeCell ref="Q3:Q4"/>
    <x:mergeCell ref="R3:R4"/>
    <x:mergeCell ref="S3:S4"/>
    <x:mergeCell ref="A1:L1"/>
    <x:mergeCell ref="O2:O5"/>
    <x:mergeCell ref="A3:A4"/>
    <x:mergeCell ref="B3:B4"/>
    <x:mergeCell ref="C3:C4"/>
    <x:mergeCell ref="D3:D4"/>
    <x:mergeCell ref="E3:E4"/>
    <x:mergeCell ref="F3:J3"/>
    <x:mergeCell ref="K3:K4"/>
    <x:mergeCell ref="L3:L4"/>
  </x:mergeCells>
  <x:pageMargins left="0.39361110329627991" right="0.39361110329627991" top="0.39361110329627991" bottom="0.39361110329627991" header="0.31486111879348755" footer="0.31486111879348755"/>
  <x:pageSetup paperSize="9" scale="68" firstPageNumber="1" fitToWidth="1" fitToHeight="1" orientation="landscape" usePrinterDefaults="1" blackAndWhite="0" draft="0" useFirstPageNumber="0" horizontalDpi="600" verticalDpi="600" copies="1"/>
  <x:legacyDrawing r:id="rId1"/>
</x:worksheet>
</file>

<file path=xl/worksheets/sheet7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6"/>
  <x:dimension ref="A1:N182"/>
  <x:sheetViews>
    <x:sheetView view="pageBreakPreview" topLeftCell="A1" zoomScaleNormal="100" zoomScaleSheetLayoutView="100" workbookViewId="0">
      <x:selection activeCell="A1" activeCellId="0" sqref="A1:N1"/>
    </x:sheetView>
  </x:sheetViews>
  <x:sheetFormatPr defaultColWidth="9.00390625" defaultRowHeight="16.5"/>
  <x:cols>
    <x:col min="1" max="1" width="11.375" style="1" customWidth="1"/>
    <x:col min="2" max="2" width="17.625" style="1" customWidth="1"/>
    <x:col min="3" max="3" width="16.625" style="1" customWidth="1"/>
    <x:col min="4" max="4" width="13.625" style="2" customWidth="1"/>
    <x:col min="5" max="5" width="12.625" style="2" customWidth="1"/>
    <x:col min="6" max="6" width="13.625" style="2" customWidth="1"/>
    <x:col min="7" max="7" width="12.625" style="2" customWidth="1"/>
    <x:col min="8" max="8" width="12.5" style="1" customWidth="1"/>
    <x:col min="9" max="9" width="17.625" style="1" customWidth="1"/>
    <x:col min="10" max="10" width="16.625" style="1" customWidth="1"/>
    <x:col min="11" max="11" width="13.625" style="2" customWidth="1"/>
    <x:col min="12" max="12" width="12.625" style="2" customWidth="1"/>
    <x:col min="13" max="13" width="13.625" style="2" customWidth="1"/>
    <x:col min="14" max="14" width="12.625" style="2" customWidth="1"/>
  </x:cols>
  <x:sheetData>
    <x:row r="1" spans="1:14" ht="38.25" customHeight="1">
      <x:c r="A1" s="286" t="s">
        <x:v>1815</x:v>
      </x:c>
      <x:c r="B1" s="286"/>
      <x:c r="C1" s="286"/>
      <x:c r="D1" s="286"/>
      <x:c r="E1" s="286"/>
      <x:c r="F1" s="286"/>
      <x:c r="G1" s="286"/>
      <x:c r="H1" s="286"/>
      <x:c r="I1" s="286"/>
      <x:c r="J1" s="286"/>
      <x:c r="K1" s="286"/>
      <x:c r="L1" s="286"/>
      <x:c r="M1" s="286"/>
      <x:c r="N1" s="286"/>
    </x:row>
    <x:row r="2" spans="1:14" ht="20.100000000000001" customHeight="1">
      <x:c r="A2" s="302" t="s">
        <x:v>777</x:v>
      </x:c>
      <x:c r="B2" s="303"/>
      <x:c r="C2" s="303"/>
      <x:c r="D2" s="303"/>
      <x:c r="E2" s="303"/>
      <x:c r="F2" s="304"/>
      <x:c r="G2" s="305"/>
      <x:c r="H2" s="302" t="s">
        <x:v>789</x:v>
      </x:c>
      <x:c r="I2" s="303"/>
      <x:c r="J2" s="303"/>
      <x:c r="K2" s="303"/>
      <x:c r="L2" s="303"/>
      <x:c r="M2" s="304"/>
      <x:c r="N2" s="305"/>
    </x:row>
    <x:row r="3" spans="1:14" ht="20.100000000000001" customHeight="1">
      <x:c r="A3" s="29" t="s">
        <x:v>147</x:v>
      </x:c>
      <x:c r="B3" s="283" t="s">
        <x:v>144</x:v>
      </x:c>
      <x:c r="C3" s="283" t="s">
        <x:v>150</x:v>
      </x:c>
      <x:c r="D3" s="31" t="s">
        <x:v>145</x:v>
      </x:c>
      <x:c r="E3" s="31" t="s">
        <x:v>152</x:v>
      </x:c>
      <x:c r="F3" s="31" t="s">
        <x:v>146</x:v>
      </x:c>
      <x:c r="G3" s="34" t="s">
        <x:v>154</x:v>
      </x:c>
      <x:c r="H3" s="29" t="s">
        <x:v>147</x:v>
      </x:c>
      <x:c r="I3" s="283" t="s">
        <x:v>144</x:v>
      </x:c>
      <x:c r="J3" s="283" t="s">
        <x:v>150</x:v>
      </x:c>
      <x:c r="K3" s="31" t="s">
        <x:v>145</x:v>
      </x:c>
      <x:c r="L3" s="31" t="s">
        <x:v>152</x:v>
      </x:c>
      <x:c r="M3" s="32" t="s">
        <x:v>146</x:v>
      </x:c>
      <x:c r="N3" s="33" t="s">
        <x:v>154</x:v>
      </x:c>
    </x:row>
    <x:row r="4" spans="1:14" ht="20.100000000000001" customHeight="1">
      <x:c r="A4" s="41" t="s">
        <x:v>151</x:v>
      </x:c>
      <x:c r="B4" s="38" t="s">
        <x:v>1679</x:v>
      </x:c>
      <x:c r="C4" s="38" t="s">
        <x:v>156</x:v>
      </x:c>
      <x:c r="D4" s="39">
        <x:v>562800000</x:v>
      </x:c>
      <x:c r="E4" s="39">
        <x:v>17200000</x:v>
      </x:c>
      <x:c r="F4" s="40">
        <x:f>+D4+E4</x:f>
        <x:v>580000000</x:v>
      </x:c>
      <x:c r="G4" s="42"/>
      <x:c r="H4" s="282" t="s">
        <x:v>151</x:v>
      </x:c>
      <x:c r="I4" s="38" t="s">
        <x:v>1679</x:v>
      </x:c>
      <x:c r="J4" s="38" t="s">
        <x:v>156</x:v>
      </x:c>
      <x:c r="K4" s="39">
        <x:v>778500000</x:v>
      </x:c>
      <x:c r="L4" s="39">
        <x:f>+K4*0.1</x:f>
        <x:v>77850000</x:v>
      </x:c>
      <x:c r="M4" s="40">
        <x:f t="shared" ref="M4:M26" si="0">+K4+L4</x:f>
        <x:v>856350000</x:v>
      </x:c>
      <x:c r="N4" s="18" t="s">
        <x:v>1588</x:v>
      </x:c>
    </x:row>
    <x:row r="5" spans="1:14" ht="20.100000000000001" customHeight="1">
      <x:c r="A5" s="298" t="s">
        <x:v>148</x:v>
      </x:c>
      <x:c r="B5" s="210" t="s">
        <x:v>867</x:v>
      </x:c>
      <x:c r="C5" s="211" t="s">
        <x:v>369</x:v>
      </x:c>
      <x:c r="D5" s="212">
        <x:v>232661534</x:v>
      </x:c>
      <x:c r="E5" s="277">
        <x:f>+INT(D5*0.1)</x:f>
        <x:v>23266153</x:v>
      </x:c>
      <x:c r="F5" s="213">
        <x:f>+D5+E5</x:f>
        <x:v>255927687</x:v>
      </x:c>
      <x:c r="G5" s="252"/>
      <x:c r="H5" s="298" t="s">
        <x:v>148</x:v>
      </x:c>
      <x:c r="I5" s="54" t="s">
        <x:v>867</x:v>
      </x:c>
      <x:c r="J5" s="211" t="s">
        <x:v>369</x:v>
      </x:c>
      <x:c r="K5" s="20">
        <x:v>487235965</x:v>
      </x:c>
      <x:c r="L5" s="20">
        <x:f t="shared" ref="L5:L19" si="1">+INT(K5*0.1)</x:f>
        <x:v>48723596</x:v>
      </x:c>
      <x:c r="M5" s="21">
        <x:f t="shared" si="0"/>
        <x:v>535959561</x:v>
      </x:c>
      <x:c r="N5" s="22"/>
    </x:row>
    <x:row r="6" spans="1:14" ht="20.100000000000001" customHeight="1">
      <x:c r="A6" s="299"/>
      <x:c r="B6" s="261" t="s">
        <x:v>902</x:v>
      </x:c>
      <x:c r="C6" s="178" t="s">
        <x:v>1179</x:v>
      </x:c>
      <x:c r="D6" s="163">
        <x:v>306000</x:v>
      </x:c>
      <x:c r="E6" s="278">
        <x:f>+D6*0.1</x:f>
        <x:v>30600</x:v>
      </x:c>
      <x:c r="F6" s="164">
        <x:f>+D6+E6</x:f>
        <x:v>336600</x:v>
      </x:c>
      <x:c r="G6" s="203"/>
      <x:c r="H6" s="299"/>
      <x:c r="I6" s="162" t="s">
        <x:v>1348</x:v>
      </x:c>
      <x:c r="J6" s="262" t="s">
        <x:v>462</x:v>
      </x:c>
      <x:c r="K6" s="4">
        <x:v>781380</x:v>
      </x:c>
      <x:c r="L6" s="4">
        <x:f t="shared" si="1"/>
        <x:v>78138</x:v>
      </x:c>
      <x:c r="M6" s="5">
        <x:f t="shared" si="0"/>
        <x:v>859518</x:v>
      </x:c>
      <x:c r="N6" s="198"/>
    </x:row>
    <x:row r="7" spans="1:14" ht="20.100000000000001" customHeight="1">
      <x:c r="A7" s="299"/>
      <x:c r="B7" s="129" t="s">
        <x:v>1348</x:v>
      </x:c>
      <x:c r="C7" s="3" t="s">
        <x:v>383</x:v>
      </x:c>
      <x:c r="D7" s="163">
        <x:v>2211714</x:v>
      </x:c>
      <x:c r="E7" s="209">
        <x:f>+D7*0.1</x:f>
        <x:v>221171.40000000002</x:v>
      </x:c>
      <x:c r="F7" s="5">
        <x:f>+D7+E7</x:f>
        <x:v>2432885.3999999999</x:v>
      </x:c>
      <x:c r="G7" s="180"/>
      <x:c r="H7" s="299"/>
      <x:c r="I7" s="3" t="s">
        <x:v>838</x:v>
      </x:c>
      <x:c r="J7" s="129" t="s">
        <x:v>761</x:v>
      </x:c>
      <x:c r="K7" s="4">
        <x:v>1905500</x:v>
      </x:c>
      <x:c r="L7" s="4">
        <x:f t="shared" si="1"/>
        <x:v>190550</x:v>
      </x:c>
      <x:c r="M7" s="5">
        <x:f t="shared" si="0"/>
        <x:v>2096050</x:v>
      </x:c>
      <x:c r="N7" s="6"/>
    </x:row>
    <x:row r="8" spans="1:14" ht="20.100000000000001" customHeight="1">
      <x:c r="A8" s="299"/>
      <x:c r="B8" s="129" t="s">
        <x:v>895</x:v>
      </x:c>
      <x:c r="C8" s="162"/>
      <x:c r="D8" s="163"/>
      <x:c r="E8" s="278">
        <x:f>+D8*0.1</x:f>
        <x:v>0</x:v>
      </x:c>
      <x:c r="F8" s="164">
        <x:f t="shared" ref="F8:F15" si="2">+D8+E8</x:f>
        <x:v>0</x:v>
      </x:c>
      <x:c r="G8" s="233"/>
      <x:c r="H8" s="299"/>
      <x:c r="I8" s="3" t="s">
        <x:v>1119</x:v>
      </x:c>
      <x:c r="J8" s="129" t="s">
        <x:v>1386</x:v>
      </x:c>
      <x:c r="K8" s="4"/>
      <x:c r="L8" s="4">
        <x:f t="shared" si="1"/>
        <x:v>0</x:v>
      </x:c>
      <x:c r="M8" s="5">
        <x:f t="shared" si="0"/>
        <x:v>0</x:v>
      </x:c>
      <x:c r="N8" s="6"/>
    </x:row>
    <x:row r="9" spans="1:14" ht="20.100000000000001" customHeight="1">
      <x:c r="A9" s="299"/>
      <x:c r="B9" s="129" t="s">
        <x:v>1119</x:v>
      </x:c>
      <x:c r="C9" s="162" t="s">
        <x:v>1658</x:v>
      </x:c>
      <x:c r="D9" s="163">
        <x:v>1295000</x:v>
      </x:c>
      <x:c r="E9" s="209">
        <x:f t="shared" ref="E9:E19" si="3">+D9*0.1</x:f>
        <x:v>129500</x:v>
      </x:c>
      <x:c r="F9" s="45">
        <x:f t="shared" si="2"/>
        <x:v>1424500</x:v>
      </x:c>
      <x:c r="G9" s="37"/>
      <x:c r="H9" s="299"/>
      <x:c r="I9" s="3" t="s">
        <x:v>938</x:v>
      </x:c>
      <x:c r="J9" s="129" t="s">
        <x:v>1094</x:v>
      </x:c>
      <x:c r="K9" s="4">
        <x:v>3035500</x:v>
      </x:c>
      <x:c r="L9" s="4">
        <x:f>+INT(K9*0.1)</x:f>
        <x:v>303550</x:v>
      </x:c>
      <x:c r="M9" s="5">
        <x:f t="shared" si="0"/>
        <x:v>3339050</x:v>
      </x:c>
      <x:c r="N9" s="6" t="s">
        <x:v>1431</x:v>
      </x:c>
    </x:row>
    <x:row r="10" spans="1:14" ht="20.100000000000001" customHeight="1">
      <x:c r="A10" s="299"/>
      <x:c r="B10" s="129" t="s">
        <x:v>846</x:v>
      </x:c>
      <x:c r="C10" s="3" t="s">
        <x:v>1270</x:v>
      </x:c>
      <x:c r="D10" s="163">
        <x:v>320600</x:v>
      </x:c>
      <x:c r="E10" s="209">
        <x:f t="shared" si="3"/>
        <x:v>32060</x:v>
      </x:c>
      <x:c r="F10" s="5">
        <x:f t="shared" si="2"/>
        <x:v>352660</x:v>
      </x:c>
      <x:c r="G10" s="37"/>
      <x:c r="H10" s="299"/>
      <x:c r="I10" s="3" t="s">
        <x:v>864</x:v>
      </x:c>
      <x:c r="J10" s="129" t="s">
        <x:v>589</x:v>
      </x:c>
      <x:c r="K10" s="4">
        <x:v>1493850</x:v>
      </x:c>
      <x:c r="L10" s="4">
        <x:f t="shared" si="1"/>
        <x:v>149385</x:v>
      </x:c>
      <x:c r="M10" s="5">
        <x:f t="shared" si="0"/>
        <x:v>1643235</x:v>
      </x:c>
      <x:c r="N10" s="6"/>
    </x:row>
    <x:row r="11" spans="1:14" ht="20.100000000000001" customHeight="1">
      <x:c r="A11" s="299"/>
      <x:c r="B11" s="261" t="s">
        <x:v>864</x:v>
      </x:c>
      <x:c r="C11" s="178" t="s">
        <x:v>457</x:v>
      </x:c>
      <x:c r="D11" s="163"/>
      <x:c r="E11" s="209">
        <x:f t="shared" si="3"/>
        <x:v>0</x:v>
      </x:c>
      <x:c r="F11" s="5">
        <x:f t="shared" si="2"/>
        <x:v>0</x:v>
      </x:c>
      <x:c r="G11" s="6"/>
      <x:c r="H11" s="299"/>
      <x:c r="I11" s="3" t="s">
        <x:v>1058</x:v>
      </x:c>
      <x:c r="J11" s="129" t="s">
        <x:v>591</x:v>
      </x:c>
      <x:c r="K11" s="4">
        <x:v>11920000</x:v>
      </x:c>
      <x:c r="L11" s="4">
        <x:f t="shared" si="1"/>
        <x:v>1192000</x:v>
      </x:c>
      <x:c r="M11" s="5">
        <x:f t="shared" si="0"/>
        <x:v>13112000</x:v>
      </x:c>
      <x:c r="N11" s="217"/>
    </x:row>
    <x:row r="12" spans="1:14" ht="20.100000000000001" customHeight="1">
      <x:c r="A12" s="299"/>
      <x:c r="B12" s="261" t="s">
        <x:v>1058</x:v>
      </x:c>
      <x:c r="C12" s="178" t="s">
        <x:v>781</x:v>
      </x:c>
      <x:c r="D12" s="163">
        <x:v>2150500</x:v>
      </x:c>
      <x:c r="E12" s="209">
        <x:f t="shared" si="3"/>
        <x:v>215050</x:v>
      </x:c>
      <x:c r="F12" s="5">
        <x:f t="shared" si="2"/>
        <x:v>2365550</x:v>
      </x:c>
      <x:c r="G12" s="6"/>
      <x:c r="H12" s="299"/>
      <x:c r="I12" s="3" t="s">
        <x:v>1378</x:v>
      </x:c>
      <x:c r="J12" s="129" t="s">
        <x:v>1364</x:v>
      </x:c>
      <x:c r="K12" s="4">
        <x:v>11647950</x:v>
      </x:c>
      <x:c r="L12" s="4">
        <x:f t="shared" si="1"/>
        <x:v>1164795</x:v>
      </x:c>
      <x:c r="M12" s="5">
        <x:f t="shared" si="0"/>
        <x:v>12812745</x:v>
      </x:c>
      <x:c r="N12" s="217"/>
    </x:row>
    <x:row r="13" spans="1:14" ht="20.100000000000001" customHeight="1">
      <x:c r="A13" s="299"/>
      <x:c r="B13" s="129" t="s">
        <x:v>938</x:v>
      </x:c>
      <x:c r="C13" s="3"/>
      <x:c r="D13" s="163"/>
      <x:c r="E13" s="209">
        <x:f t="shared" si="3"/>
        <x:v>0</x:v>
      </x:c>
      <x:c r="F13" s="45">
        <x:f t="shared" si="2"/>
        <x:v>0</x:v>
      </x:c>
      <x:c r="G13" s="37"/>
      <x:c r="H13" s="299"/>
      <x:c r="I13" s="3" t="s">
        <x:v>846</x:v>
      </x:c>
      <x:c r="J13" s="129" t="s">
        <x:v>687</x:v>
      </x:c>
      <x:c r="K13" s="4">
        <x:v>1557800</x:v>
      </x:c>
      <x:c r="L13" s="4">
        <x:f t="shared" ref="L13:L15" si="4">+INT(K13*0.1)</x:f>
        <x:v>155780</x:v>
      </x:c>
      <x:c r="M13" s="5">
        <x:f t="shared" ref="M13:M15" si="5">+K13+L13</x:f>
        <x:v>1713580</x:v>
      </x:c>
      <x:c r="N13" s="6"/>
    </x:row>
    <x:row r="14" spans="1:14" ht="20.100000000000001" customHeight="1">
      <x:c r="A14" s="299"/>
      <x:c r="B14" s="262" t="s">
        <x:v>1378</x:v>
      </x:c>
      <x:c r="C14" s="162" t="s">
        <x:v>1669</x:v>
      </x:c>
      <x:c r="D14" s="163">
        <x:v>1222000</x:v>
      </x:c>
      <x:c r="E14" s="209">
        <x:f>+INT(D14*0.1)</x:f>
        <x:v>122200</x:v>
      </x:c>
      <x:c r="F14" s="45">
        <x:f t="shared" si="2"/>
        <x:v>1344200</x:v>
      </x:c>
      <x:c r="G14" s="6"/>
      <x:c r="H14" s="299"/>
      <x:c r="I14" s="3" t="s">
        <x:v>1564</x:v>
      </x:c>
      <x:c r="J14" s="129" t="s">
        <x:v>1648</x:v>
      </x:c>
      <x:c r="K14" s="4"/>
      <x:c r="L14" s="4">
        <x:f t="shared" si="4"/>
        <x:v>0</x:v>
      </x:c>
      <x:c r="M14" s="5">
        <x:f t="shared" si="5"/>
        <x:v>0</x:v>
      </x:c>
      <x:c r="N14" s="6"/>
    </x:row>
    <x:row r="15" spans="1:14" ht="20.100000000000001" customHeight="1">
      <x:c r="A15" s="299"/>
      <x:c r="B15" s="129" t="s">
        <x:v>762</x:v>
      </x:c>
      <x:c r="C15" s="3" t="s">
        <x:v>182</x:v>
      </x:c>
      <x:c r="D15" s="163">
        <x:v>990000</x:v>
      </x:c>
      <x:c r="E15" s="209">
        <x:f t="shared" si="3"/>
        <x:v>99000</x:v>
      </x:c>
      <x:c r="F15" s="45">
        <x:f t="shared" si="2"/>
        <x:v>1089000</x:v>
      </x:c>
      <x:c r="G15" s="37"/>
      <x:c r="H15" s="299"/>
      <x:c r="I15" s="3" t="s">
        <x:v>1612</x:v>
      </x:c>
      <x:c r="J15" s="129" t="s">
        <x:v>1219</x:v>
      </x:c>
      <x:c r="K15" s="4">
        <x:v>424952000</x:v>
      </x:c>
      <x:c r="L15" s="4">
        <x:f t="shared" si="4"/>
        <x:v>42495200</x:v>
      </x:c>
      <x:c r="M15" s="5">
        <x:f t="shared" si="5"/>
        <x:v>467447200</x:v>
      </x:c>
      <x:c r="N15" s="6" t="s">
        <x:v>593</x:v>
      </x:c>
    </x:row>
    <x:row r="16" spans="1:14" ht="20.100000000000001" customHeight="1">
      <x:c r="A16" s="299"/>
      <x:c r="B16" s="262" t="s">
        <x:v>1564</x:v>
      </x:c>
      <x:c r="C16" s="162" t="s">
        <x:v>1662</x:v>
      </x:c>
      <x:c r="D16" s="163">
        <x:v>270000</x:v>
      </x:c>
      <x:c r="E16" s="278">
        <x:f t="shared" si="3"/>
        <x:v>27000</x:v>
      </x:c>
      <x:c r="F16" s="164">
        <x:f>+D16+E16</x:f>
        <x:v>297000</x:v>
      </x:c>
      <x:c r="G16" s="180"/>
      <x:c r="H16" s="299"/>
      <x:c r="I16" s="3" t="s">
        <x:v>1612</x:v>
      </x:c>
      <x:c r="J16" s="129" t="s">
        <x:v>244</x:v>
      </x:c>
      <x:c r="K16" s="4"/>
      <x:c r="L16" s="4">
        <x:f t="shared" si="1"/>
        <x:v>0</x:v>
      </x:c>
      <x:c r="M16" s="5">
        <x:f t="shared" si="0"/>
        <x:v>0</x:v>
      </x:c>
      <x:c r="N16" s="6" t="s">
        <x:v>594</x:v>
      </x:c>
    </x:row>
    <x:row r="17" spans="1:14" ht="20.100000000000001" customHeight="1">
      <x:c r="A17" s="299"/>
      <x:c r="B17" s="129" t="s">
        <x:v>854</x:v>
      </x:c>
      <x:c r="C17" s="3" t="s">
        <x:v>1704</x:v>
      </x:c>
      <x:c r="D17" s="163"/>
      <x:c r="E17" s="278">
        <x:f t="shared" si="3"/>
        <x:v>0</x:v>
      </x:c>
      <x:c r="F17" s="164">
        <x:f>+D17+E17</x:f>
        <x:v>0</x:v>
      </x:c>
      <x:c r="G17" s="6"/>
      <x:c r="H17" s="299"/>
      <x:c r="I17" s="3" t="s">
        <x:v>1202</x:v>
      </x:c>
      <x:c r="J17" s="129" t="s">
        <x:v>242</x:v>
      </x:c>
      <x:c r="K17" s="4"/>
      <x:c r="L17" s="4">
        <x:f t="shared" si="1"/>
        <x:v>0</x:v>
      </x:c>
      <x:c r="M17" s="5">
        <x:f t="shared" si="0"/>
        <x:v>0</x:v>
      </x:c>
      <x:c r="N17" s="6"/>
    </x:row>
    <x:row r="18" spans="1:14" ht="20.100000000000001" customHeight="1">
      <x:c r="A18" s="299"/>
      <x:c r="B18" s="3" t="s">
        <x:v>1626</x:v>
      </x:c>
      <x:c r="C18" s="3" t="s">
        <x:v>1671</x:v>
      </x:c>
      <x:c r="D18" s="163">
        <x:v>511415</x:v>
      </x:c>
      <x:c r="E18" s="209">
        <x:f>+D18*0.1</x:f>
        <x:v>51141.5</x:v>
      </x:c>
      <x:c r="F18" s="45">
        <x:f>+D18+E18</x:f>
        <x:v>562556.5</x:v>
      </x:c>
      <x:c r="G18" s="6"/>
      <x:c r="H18" s="299"/>
      <x:c r="I18" s="3" t="s">
        <x:v>1449</x:v>
      </x:c>
      <x:c r="J18" s="3" t="s">
        <x:v>274</x:v>
      </x:c>
      <x:c r="K18" s="4">
        <x:v>338200</x:v>
      </x:c>
      <x:c r="L18" s="4">
        <x:f>+INT(K18*0.1)</x:f>
        <x:v>33820</x:v>
      </x:c>
      <x:c r="M18" s="5">
        <x:f>+K18+L18</x:f>
        <x:v>372020</x:v>
      </x:c>
      <x:c r="N18" s="6"/>
    </x:row>
    <x:row r="19" spans="1:14" ht="20.100000000000001" customHeight="1">
      <x:c r="A19" s="300"/>
      <x:c r="B19" s="3" t="s">
        <x:v>1150</x:v>
      </x:c>
      <x:c r="C19" s="3" t="s">
        <x:v>253</x:v>
      </x:c>
      <x:c r="D19" s="163">
        <x:v>510000</x:v>
      </x:c>
      <x:c r="E19" s="209">
        <x:f t="shared" si="3"/>
        <x:v>51000</x:v>
      </x:c>
      <x:c r="F19" s="45">
        <x:f>+D19+E19</x:f>
        <x:v>561000</x:v>
      </x:c>
      <x:c r="G19" s="6"/>
      <x:c r="H19" s="300"/>
      <x:c r="I19" s="3"/>
      <x:c r="J19" s="3"/>
      <x:c r="K19" s="4"/>
      <x:c r="L19" s="4">
        <x:f t="shared" si="1"/>
        <x:v>0</x:v>
      </x:c>
      <x:c r="M19" s="5">
        <x:f t="shared" si="0"/>
        <x:v>0</x:v>
      </x:c>
      <x:c r="N19" s="6"/>
    </x:row>
    <x:row r="20" spans="1:14" ht="20.100000000000001" customHeight="1">
      <x:c r="A20" s="7" t="s">
        <x:v>155</x:v>
      </x:c>
      <x:c r="B20" s="8"/>
      <x:c r="C20" s="8"/>
      <x:c r="D20" s="80">
        <x:f>SUM(D5:D19)</x:f>
        <x:v>242448763</x:v>
      </x:c>
      <x:c r="E20" s="279">
        <x:f>SUM(E5:E19)</x:f>
        <x:v>24244875.899999999</x:v>
      </x:c>
      <x:c r="F20" s="10">
        <x:f>SUM(F5:F19)</x:f>
        <x:v>266693638.90000001</x:v>
      </x:c>
      <x:c r="G20" s="11"/>
      <x:c r="H20" s="7" t="s">
        <x:v>155</x:v>
      </x:c>
      <x:c r="I20" s="8"/>
      <x:c r="J20" s="8"/>
      <x:c r="K20" s="9">
        <x:f>SUM(K5:K19)</x:f>
        <x:v>944868145</x:v>
      </x:c>
      <x:c r="L20" s="9">
        <x:f>SUM(L5:L19)</x:f>
        <x:v>94486814</x:v>
      </x:c>
      <x:c r="M20" s="10">
        <x:f>SUM(M5:M19)</x:f>
        <x:v>1039354959</x:v>
      </x:c>
      <x:c r="N20" s="11"/>
    </x:row>
    <x:row r="21" spans="1:14" ht="20.100000000000001" customHeight="1">
      <x:c r="A21" s="301" t="s">
        <x:v>153</x:v>
      </x:c>
      <x:c r="B21" s="3" t="s">
        <x:v>1677</x:v>
      </x:c>
      <x:c r="C21" s="3" t="s">
        <x:v>1079</x:v>
      </x:c>
      <x:c r="D21" s="163">
        <x:v>37290000</x:v>
      </x:c>
      <x:c r="E21" s="280"/>
      <x:c r="F21" s="45">
        <x:f t="shared" ref="F21:F26" si="6">+D21+E21</x:f>
        <x:v>37290000</x:v>
      </x:c>
      <x:c r="G21" s="37"/>
      <x:c r="H21" s="301" t="s">
        <x:v>153</x:v>
      </x:c>
      <x:c r="I21" s="3" t="s">
        <x:v>1677</x:v>
      </x:c>
      <x:c r="J21" s="3" t="s">
        <x:v>1308</x:v>
      </x:c>
      <x:c r="K21" s="4">
        <x:v>83848000</x:v>
      </x:c>
      <x:c r="L21" s="4"/>
      <x:c r="M21" s="5">
        <x:f t="shared" si="0"/>
        <x:v>83848000</x:v>
      </x:c>
      <x:c r="N21" s="6"/>
    </x:row>
    <x:row r="22" spans="1:14" ht="20.100000000000001" customHeight="1">
      <x:c r="A22" s="299"/>
      <x:c r="B22" s="3" t="s">
        <x:v>1241</x:v>
      </x:c>
      <x:c r="C22" s="3" t="s">
        <x:v>1389</x:v>
      </x:c>
      <x:c r="D22" s="163">
        <x:v>7920000</x:v>
      </x:c>
      <x:c r="E22" s="209"/>
      <x:c r="F22" s="5">
        <x:f t="shared" si="6"/>
        <x:v>7920000</x:v>
      </x:c>
      <x:c r="G22" s="37"/>
      <x:c r="H22" s="299"/>
      <x:c r="I22" s="3" t="s">
        <x:v>1241</x:v>
      </x:c>
      <x:c r="J22" s="3" t="s">
        <x:v>523</x:v>
      </x:c>
      <x:c r="K22" s="4">
        <x:f>6460000+1740000</x:f>
        <x:v>8200000</x:v>
      </x:c>
      <x:c r="L22" s="4">
        <x:v>174000</x:v>
      </x:c>
      <x:c r="M22" s="5">
        <x:f t="shared" si="0"/>
        <x:v>8374000</x:v>
      </x:c>
      <x:c r="N22" s="6"/>
    </x:row>
    <x:row r="23" spans="1:14" s="2" customFormat="1" ht="20.100000000000001" customHeight="1">
      <x:c r="A23" s="299"/>
      <x:c r="B23" s="3" t="s">
        <x:v>1241</x:v>
      </x:c>
      <x:c r="C23" s="3" t="s">
        <x:v>547</x:v>
      </x:c>
      <x:c r="D23" s="163">
        <x:f>33415000+9700000</x:f>
        <x:v>43115000</x:v>
      </x:c>
      <x:c r="E23" s="209">
        <x:v>970000</x:v>
      </x:c>
      <x:c r="F23" s="5">
        <x:f t="shared" si="6"/>
        <x:v>44085000</x:v>
      </x:c>
      <x:c r="G23" s="37" t="s">
        <x:v>1666</x:v>
      </x:c>
      <x:c r="H23" s="299"/>
      <x:c r="I23" s="3"/>
      <x:c r="J23" s="3"/>
      <x:c r="K23" s="35"/>
      <x:c r="L23" s="4"/>
      <x:c r="M23" s="5">
        <x:f t="shared" si="0"/>
        <x:v>0</x:v>
      </x:c>
      <x:c r="N23" s="6"/>
    </x:row>
    <x:row r="24" spans="1:14" s="2" customFormat="1" ht="20.100000000000001" customHeight="1">
      <x:c r="A24" s="299"/>
      <x:c r="B24" s="3" t="s">
        <x:v>1241</x:v>
      </x:c>
      <x:c r="C24" s="3" t="s">
        <x:v>587</x:v>
      </x:c>
      <x:c r="D24" s="163">
        <x:v>10800000</x:v>
      </x:c>
      <x:c r="E24" s="209"/>
      <x:c r="F24" s="5">
        <x:f t="shared" si="6"/>
        <x:v>10800000</x:v>
      </x:c>
      <x:c r="G24" s="37"/>
      <x:c r="H24" s="299"/>
      <x:c r="I24" s="3"/>
      <x:c r="J24" s="3"/>
      <x:c r="K24" s="4"/>
      <x:c r="L24" s="4"/>
      <x:c r="M24" s="5"/>
      <x:c r="N24" s="6"/>
    </x:row>
    <x:row r="25" spans="1:14" s="2" customFormat="1" ht="20.100000000000001" customHeight="1">
      <x:c r="A25" s="299"/>
      <x:c r="B25" s="3" t="s">
        <x:v>1241</x:v>
      </x:c>
      <x:c r="C25" s="3" t="s">
        <x:v>292</x:v>
      </x:c>
      <x:c r="D25" s="163">
        <x:v>30000000</x:v>
      </x:c>
      <x:c r="E25" s="209">
        <x:f>+D25*0.1</x:f>
        <x:v>3000000</x:v>
      </x:c>
      <x:c r="F25" s="5">
        <x:f t="shared" si="6"/>
        <x:v>33000000</x:v>
      </x:c>
      <x:c r="G25" s="6" t="s">
        <x:v>1540</x:v>
      </x:c>
      <x:c r="H25" s="299"/>
      <x:c r="I25" s="3"/>
      <x:c r="J25" s="3"/>
      <x:c r="K25" s="4"/>
      <x:c r="L25" s="4"/>
      <x:c r="M25" s="5">
        <x:f>+K25+L25</x:f>
        <x:v>0</x:v>
      </x:c>
      <x:c r="N25" s="6"/>
    </x:row>
    <x:row r="26" spans="1:14" s="2" customFormat="1" ht="20.100000000000001" customHeight="1">
      <x:c r="A26" s="300"/>
      <x:c r="B26" s="3" t="s">
        <x:v>1241</x:v>
      </x:c>
      <x:c r="C26" s="3" t="s">
        <x:v>1638</x:v>
      </x:c>
      <x:c r="D26" s="163">
        <x:v>2000000</x:v>
      </x:c>
      <x:c r="E26" s="209"/>
      <x:c r="F26" s="5">
        <x:f t="shared" si="6"/>
        <x:v>2000000</x:v>
      </x:c>
      <x:c r="G26" s="6"/>
      <x:c r="H26" s="300"/>
      <x:c r="I26" s="3"/>
      <x:c r="J26" s="3"/>
      <x:c r="K26" s="4"/>
      <x:c r="L26" s="4"/>
      <x:c r="M26" s="5">
        <x:f t="shared" si="0"/>
        <x:v>0</x:v>
      </x:c>
      <x:c r="N26" s="6"/>
    </x:row>
    <x:row r="27" spans="1:14" s="2" customFormat="1" ht="20.100000000000001" customHeight="1">
      <x:c r="A27" s="7" t="s">
        <x:v>155</x:v>
      </x:c>
      <x:c r="B27" s="8"/>
      <x:c r="C27" s="8"/>
      <x:c r="D27" s="80">
        <x:f>SUM(D21:D26)</x:f>
        <x:v>131125000</x:v>
      </x:c>
      <x:c r="E27" s="279">
        <x:f>SUM(E21:E26)</x:f>
        <x:v>3970000</x:v>
      </x:c>
      <x:c r="F27" s="10">
        <x:f>SUM(F21:F26)</x:f>
        <x:v>135095000</x:v>
      </x:c>
      <x:c r="G27" s="11"/>
      <x:c r="H27" s="7" t="s">
        <x:v>155</x:v>
      </x:c>
      <x:c r="I27" s="8"/>
      <x:c r="J27" s="8"/>
      <x:c r="K27" s="9">
        <x:f>SUM(K21:K26)</x:f>
        <x:v>92048000</x:v>
      </x:c>
      <x:c r="L27" s="9">
        <x:f>SUM(L21:L26)</x:f>
        <x:v>174000</x:v>
      </x:c>
      <x:c r="M27" s="10">
        <x:f>SUM(M21:M26)</x:f>
        <x:v>92222000</x:v>
      </x:c>
      <x:c r="N27" s="11"/>
    </x:row>
    <x:row r="28" spans="1:14" s="2" customFormat="1" ht="20.100000000000001" customHeight="1">
      <x:c r="A28" s="301" t="s">
        <x:v>187</x:v>
      </x:c>
      <x:c r="B28" s="3" t="s">
        <x:v>1321</x:v>
      </x:c>
      <x:c r="C28" s="3" t="s">
        <x:v>948</x:v>
      </x:c>
      <x:c r="D28" s="163">
        <x:v>780000</x:v>
      </x:c>
      <x:c r="E28" s="209">
        <x:f>+D28*0.1</x:f>
        <x:v>78000</x:v>
      </x:c>
      <x:c r="F28" s="5">
        <x:f>+D28+E28</x:f>
        <x:v>858000</x:v>
      </x:c>
      <x:c r="G28" s="6"/>
      <x:c r="H28" s="301" t="s">
        <x:v>187</x:v>
      </x:c>
      <x:c r="I28" s="3" t="s">
        <x:v>1461</x:v>
      </x:c>
      <x:c r="J28" s="3" t="s">
        <x:v>1006</x:v>
      </x:c>
      <x:c r="K28" s="4">
        <x:v>2244000</x:v>
      </x:c>
      <x:c r="L28" s="4">
        <x:f>+K28*0.1</x:f>
        <x:v>224400</x:v>
      </x:c>
      <x:c r="M28" s="5">
        <x:f>+K28+L28</x:f>
        <x:v>2468400</x:v>
      </x:c>
      <x:c r="N28" s="6"/>
    </x:row>
    <x:row r="29" spans="1:14" s="2" customFormat="1" ht="20.100000000000001" customHeight="1">
      <x:c r="A29" s="299"/>
      <x:c r="B29" s="3" t="s">
        <x:v>436</x:v>
      </x:c>
      <x:c r="C29" s="3" t="s">
        <x:v>1390</x:v>
      </x:c>
      <x:c r="D29" s="163">
        <x:v>1080000</x:v>
      </x:c>
      <x:c r="E29" s="209">
        <x:f>+D29*0.1</x:f>
        <x:v>108000</x:v>
      </x:c>
      <x:c r="F29" s="5">
        <x:f>+D29+E29</x:f>
        <x:v>1188000</x:v>
      </x:c>
      <x:c r="G29" s="6"/>
      <x:c r="H29" s="299"/>
      <x:c r="I29" s="3" t="s">
        <x:v>524</x:v>
      </x:c>
      <x:c r="J29" s="3" t="s">
        <x:v>948</x:v>
      </x:c>
      <x:c r="K29" s="4">
        <x:v>240000</x:v>
      </x:c>
      <x:c r="L29" s="4">
        <x:f>+K29*0.1</x:f>
        <x:v>24000</x:v>
      </x:c>
      <x:c r="M29" s="5">
        <x:f>+K29+L29</x:f>
        <x:v>264000</x:v>
      </x:c>
      <x:c r="N29" s="6"/>
    </x:row>
    <x:row r="30" spans="1:14" s="2" customFormat="1" ht="20.100000000000001" customHeight="1">
      <x:c r="A30" s="299"/>
      <x:c r="B30" s="3" t="s">
        <x:v>1156</x:v>
      </x:c>
      <x:c r="C30" s="3" t="s">
        <x:v>157</x:v>
      </x:c>
      <x:c r="D30" s="163">
        <x:v>400000</x:v>
      </x:c>
      <x:c r="E30" s="209">
        <x:f>+D30*0.1</x:f>
        <x:v>40000</x:v>
      </x:c>
      <x:c r="F30" s="5">
        <x:f>+D30+E30</x:f>
        <x:v>440000</x:v>
      </x:c>
      <x:c r="G30" s="6"/>
      <x:c r="H30" s="299"/>
      <x:c r="I30" s="3" t="s">
        <x:v>176</x:v>
      </x:c>
      <x:c r="J30" s="3" t="s">
        <x:v>1081</x:v>
      </x:c>
      <x:c r="K30" s="4"/>
      <x:c r="L30" s="4"/>
      <x:c r="M30" s="5">
        <x:f>+K30+L30</x:f>
        <x:v>0</x:v>
      </x:c>
      <x:c r="N30" s="6"/>
    </x:row>
    <x:row r="31" spans="1:14" s="2" customFormat="1" ht="20.100000000000001" customHeight="1">
      <x:c r="A31" s="7" t="s">
        <x:v>155</x:v>
      </x:c>
      <x:c r="B31" s="8"/>
      <x:c r="C31" s="8"/>
      <x:c r="D31" s="80">
        <x:f>SUM(D28:D30)</x:f>
        <x:v>2260000</x:v>
      </x:c>
      <x:c r="E31" s="279">
        <x:f>SUM(E28:E30)</x:f>
        <x:v>226000</x:v>
      </x:c>
      <x:c r="F31" s="10">
        <x:f>SUM(F28:F30)</x:f>
        <x:v>2486000</x:v>
      </x:c>
      <x:c r="G31" s="11"/>
      <x:c r="H31" s="7" t="s">
        <x:v>155</x:v>
      </x:c>
      <x:c r="I31" s="8"/>
      <x:c r="J31" s="8"/>
      <x:c r="K31" s="9">
        <x:f>SUM(K28:K30)</x:f>
        <x:v>2484000</x:v>
      </x:c>
      <x:c r="L31" s="9">
        <x:f>SUM(L28:L30)</x:f>
        <x:v>248400</x:v>
      </x:c>
      <x:c r="M31" s="10">
        <x:f>SUM(M28:M30)</x:f>
        <x:v>2732400</x:v>
      </x:c>
      <x:c r="N31" s="11"/>
    </x:row>
    <x:row r="32" spans="1:14" s="2" customFormat="1" ht="20.100000000000001" customHeight="1">
      <x:c r="A32" s="301" t="s">
        <x:v>149</x:v>
      </x:c>
      <x:c r="B32" s="3" t="s">
        <x:v>185</x:v>
      </x:c>
      <x:c r="C32" s="3" t="s">
        <x:v>149</x:v>
      </x:c>
      <x:c r="D32" s="163">
        <x:v>1084110</x:v>
      </x:c>
      <x:c r="E32" s="280"/>
      <x:c r="F32" s="5">
        <x:f>+D32+E32</x:f>
        <x:v>1084110</x:v>
      </x:c>
      <x:c r="G32" s="6"/>
      <x:c r="H32" s="301" t="s">
        <x:v>149</x:v>
      </x:c>
      <x:c r="I32" s="3" t="s">
        <x:v>248</x:v>
      </x:c>
      <x:c r="J32" s="3" t="s">
        <x:v>492</x:v>
      </x:c>
      <x:c r="K32" s="163">
        <x:v>166500</x:v>
      </x:c>
      <x:c r="L32" s="4"/>
      <x:c r="M32" s="5">
        <x:f>+K32+L32</x:f>
        <x:v>166500</x:v>
      </x:c>
      <x:c r="N32" s="6"/>
    </x:row>
    <x:row r="33" spans="1:14" s="2" customFormat="1" ht="20.100000000000001" customHeight="1">
      <x:c r="A33" s="299"/>
      <x:c r="B33" s="3" t="s">
        <x:v>1274</x:v>
      </x:c>
      <x:c r="C33" s="3" t="s">
        <x:v>962</x:v>
      </x:c>
      <x:c r="D33" s="163">
        <x:v>354545</x:v>
      </x:c>
      <x:c r="E33" s="209">
        <x:f>+INT(D33*0.1)+1</x:f>
        <x:v>35455</x:v>
      </x:c>
      <x:c r="F33" s="5">
        <x:f>+D33+E33</x:f>
        <x:v>390000</x:v>
      </x:c>
      <x:c r="G33" s="6"/>
      <x:c r="H33" s="299"/>
      <x:c r="I33" s="3" t="s">
        <x:v>284</x:v>
      </x:c>
      <x:c r="J33" s="3" t="s">
        <x:v>492</x:v>
      </x:c>
      <x:c r="K33" s="163">
        <x:v>1148780</x:v>
      </x:c>
      <x:c r="L33" s="4"/>
      <x:c r="M33" s="5">
        <x:f t="shared" ref="M33:M44" si="7">+K33+L33</x:f>
        <x:v>1148780</x:v>
      </x:c>
      <x:c r="N33" s="6"/>
    </x:row>
    <x:row r="34" spans="1:14" s="2" customFormat="1" ht="20.100000000000001" customHeight="1">
      <x:c r="A34" s="299"/>
      <x:c r="B34" s="3" t="s">
        <x:v>1313</x:v>
      </x:c>
      <x:c r="C34" s="3" t="s">
        <x:v>825</x:v>
      </x:c>
      <x:c r="D34" s="163">
        <x:v>1290000</x:v>
      </x:c>
      <x:c r="E34" s="209">
        <x:f>+D34*0.1</x:f>
        <x:v>129000</x:v>
      </x:c>
      <x:c r="F34" s="5">
        <x:f t="shared" ref="F34:F44" si="8">+D34+E34</x:f>
        <x:v>1419000</x:v>
      </x:c>
      <x:c r="G34" s="6"/>
      <x:c r="H34" s="299"/>
      <x:c r="I34" s="3" t="s">
        <x:v>296</x:v>
      </x:c>
      <x:c r="J34" s="3" t="s">
        <x:v>492</x:v>
      </x:c>
      <x:c r="K34" s="163">
        <x:v>132100</x:v>
      </x:c>
      <x:c r="L34" s="4"/>
      <x:c r="M34" s="5">
        <x:f t="shared" si="7"/>
        <x:v>132100</x:v>
      </x:c>
      <x:c r="N34" s="6"/>
    </x:row>
    <x:row r="35" spans="1:14" s="2" customFormat="1" ht="20.100000000000001" customHeight="1">
      <x:c r="A35" s="299"/>
      <x:c r="B35" s="3" t="s">
        <x:v>1313</x:v>
      </x:c>
      <x:c r="C35" s="3" t="s">
        <x:v>1667</x:v>
      </x:c>
      <x:c r="D35" s="163"/>
      <x:c r="E35" s="209">
        <x:f>+D35*0.1</x:f>
        <x:v>0</x:v>
      </x:c>
      <x:c r="F35" s="5">
        <x:f t="shared" si="8"/>
        <x:v>0</x:v>
      </x:c>
      <x:c r="G35" s="6"/>
      <x:c r="H35" s="299"/>
      <x:c r="I35" s="3" t="s">
        <x:v>249</x:v>
      </x:c>
      <x:c r="J35" s="3" t="s">
        <x:v>608</x:v>
      </x:c>
      <x:c r="K35" s="163">
        <x:v>550000</x:v>
      </x:c>
      <x:c r="L35" s="4"/>
      <x:c r="M35" s="5">
        <x:f t="shared" si="7"/>
        <x:v>550000</x:v>
      </x:c>
      <x:c r="N35" s="6"/>
    </x:row>
    <x:row r="36" spans="1:14" s="2" customFormat="1" ht="20.100000000000001" customHeight="1">
      <x:c r="A36" s="299"/>
      <x:c r="B36" s="3" t="s">
        <x:v>994</x:v>
      </x:c>
      <x:c r="C36" s="3" t="s">
        <x:v>8</x:v>
      </x:c>
      <x:c r="D36" s="163">
        <x:v>420001</x:v>
      </x:c>
      <x:c r="E36" s="209">
        <x:v>41999</x:v>
      </x:c>
      <x:c r="F36" s="5">
        <x:f t="shared" ref="F36:F43" si="9">+D36+E36</x:f>
        <x:v>462000</x:v>
      </x:c>
      <x:c r="G36" s="6"/>
      <x:c r="H36" s="299"/>
      <x:c r="I36" s="3" t="s">
        <x:v>262</x:v>
      </x:c>
      <x:c r="J36" s="3" t="s">
        <x:v>530</x:v>
      </x:c>
      <x:c r="K36" s="163">
        <x:v>550000</x:v>
      </x:c>
      <x:c r="L36" s="4"/>
      <x:c r="M36" s="5">
        <x:f t="shared" si="7"/>
        <x:v>550000</x:v>
      </x:c>
      <x:c r="N36" s="6"/>
    </x:row>
    <x:row r="37" spans="1:14" s="2" customFormat="1" ht="20.100000000000001" customHeight="1">
      <x:c r="A37" s="299"/>
      <x:c r="B37" s="3" t="s">
        <x:v>1680</x:v>
      </x:c>
      <x:c r="C37" s="3" t="s">
        <x:v>1695</x:v>
      </x:c>
      <x:c r="D37" s="163">
        <x:v>100000</x:v>
      </x:c>
      <x:c r="E37" s="209">
        <x:f>+D37*0.1</x:f>
        <x:v>10000</x:v>
      </x:c>
      <x:c r="F37" s="5">
        <x:f t="shared" si="9"/>
        <x:v>110000</x:v>
      </x:c>
      <x:c r="G37" s="6"/>
      <x:c r="H37" s="299"/>
      <x:c r="I37" s="3" t="s">
        <x:v>289</x:v>
      </x:c>
      <x:c r="J37" s="3" t="s">
        <x:v>608</x:v>
      </x:c>
      <x:c r="K37" s="163">
        <x:v>580000</x:v>
      </x:c>
      <x:c r="L37" s="4"/>
      <x:c r="M37" s="5">
        <x:f t="shared" si="7"/>
        <x:v>580000</x:v>
      </x:c>
      <x:c r="N37" s="6"/>
    </x:row>
    <x:row r="38" spans="1:14" s="2" customFormat="1" ht="20.100000000000001" customHeight="1">
      <x:c r="A38" s="299"/>
      <x:c r="B38" s="3" t="s">
        <x:v>247</x:v>
      </x:c>
      <x:c r="C38" s="3" t="s">
        <x:v>231</x:v>
      </x:c>
      <x:c r="D38" s="163">
        <x:v>23500</x:v>
      </x:c>
      <x:c r="E38" s="209">
        <x:f>+D38*0.1</x:f>
        <x:v>2350</x:v>
      </x:c>
      <x:c r="F38" s="5">
        <x:f t="shared" si="9"/>
        <x:v>25850</x:v>
      </x:c>
      <x:c r="G38" s="146" t="s">
        <x:v>1451</x:v>
      </x:c>
      <x:c r="H38" s="299"/>
      <x:c r="I38" s="3" t="s">
        <x:v>947</x:v>
      </x:c>
      <x:c r="J38" s="3" t="s">
        <x:v>914</x:v>
      </x:c>
      <x:c r="K38" s="163">
        <x:v>100000</x:v>
      </x:c>
      <x:c r="L38" s="4">
        <x:f>+K38*0.1</x:f>
        <x:v>10000</x:v>
      </x:c>
      <x:c r="M38" s="5">
        <x:f t="shared" si="7"/>
        <x:v>110000</x:v>
      </x:c>
      <x:c r="N38" s="6"/>
    </x:row>
    <x:row r="39" spans="1:14" s="2" customFormat="1" ht="20.100000000000001" customHeight="1">
      <x:c r="A39" s="299"/>
      <x:c r="B39" s="3" t="s">
        <x:v>1304</x:v>
      </x:c>
      <x:c r="C39" s="3" t="s">
        <x:v>167</x:v>
      </x:c>
      <x:c r="D39" s="163">
        <x:v>270000</x:v>
      </x:c>
      <x:c r="E39" s="209">
        <x:f>+D39*0.1</x:f>
        <x:v>27000</x:v>
      </x:c>
      <x:c r="F39" s="5">
        <x:f t="shared" si="9"/>
        <x:v>297000</x:v>
      </x:c>
      <x:c r="G39" s="146"/>
      <x:c r="H39" s="299"/>
      <x:c r="I39" s="3" t="s">
        <x:v>883</x:v>
      </x:c>
      <x:c r="J39" s="3" t="s">
        <x:v>1417</x:v>
      </x:c>
      <x:c r="K39" s="163">
        <x:v>200000</x:v>
      </x:c>
      <x:c r="L39" s="4">
        <x:f>+K39*0.1</x:f>
        <x:v>20000</x:v>
      </x:c>
      <x:c r="M39" s="5">
        <x:f t="shared" si="7"/>
        <x:v>220000</x:v>
      </x:c>
      <x:c r="N39" s="6" t="s">
        <x:v>1431</x:v>
      </x:c>
    </x:row>
    <x:row r="40" spans="1:14" s="2" customFormat="1" ht="20.100000000000001" customHeight="1">
      <x:c r="A40" s="299"/>
      <x:c r="B40" s="3" t="s">
        <x:v>238</x:v>
      </x:c>
      <x:c r="C40" s="3" t="s">
        <x:v>405</x:v>
      </x:c>
      <x:c r="D40" s="4">
        <x:v>420000</x:v>
      </x:c>
      <x:c r="E40" s="209"/>
      <x:c r="F40" s="5">
        <x:f t="shared" si="9"/>
        <x:v>420000</x:v>
      </x:c>
      <x:c r="G40" s="146" t="s">
        <x:v>185</x:v>
      </x:c>
      <x:c r="H40" s="299"/>
      <x:c r="I40" s="3" t="s">
        <x:v>1340</x:v>
      </x:c>
      <x:c r="J40" s="3" t="s">
        <x:v>28</x:v>
      </x:c>
      <x:c r="K40" s="163">
        <x:v>2694000</x:v>
      </x:c>
      <x:c r="L40" s="4">
        <x:f>+K40*0.1</x:f>
        <x:v>269400</x:v>
      </x:c>
      <x:c r="M40" s="5">
        <x:f t="shared" si="7"/>
        <x:v>2963400</x:v>
      </x:c>
      <x:c r="N40" s="6"/>
    </x:row>
    <x:row r="41" spans="1:14" s="2" customFormat="1" ht="20.100000000000001" customHeight="1">
      <x:c r="A41" s="299"/>
      <x:c r="B41" s="3" t="s">
        <x:v>270</x:v>
      </x:c>
      <x:c r="C41" s="3" t="s">
        <x:v>134</x:v>
      </x:c>
      <x:c r="D41" s="4">
        <x:v>290000</x:v>
      </x:c>
      <x:c r="E41" s="209"/>
      <x:c r="F41" s="5">
        <x:f t="shared" si="9"/>
        <x:v>290000</x:v>
      </x:c>
      <x:c r="G41" s="146"/>
      <x:c r="H41" s="299"/>
      <x:c r="I41" s="3" t="s">
        <x:v>1513</x:v>
      </x:c>
      <x:c r="J41" s="3" t="s">
        <x:v>825</x:v>
      </x:c>
      <x:c r="K41" s="163">
        <x:v>1960000</x:v>
      </x:c>
      <x:c r="L41" s="4">
        <x:f>+K41*0.1</x:f>
        <x:v>196000</x:v>
      </x:c>
      <x:c r="M41" s="5">
        <x:f t="shared" si="7"/>
        <x:v>2156000</x:v>
      </x:c>
      <x:c r="N41" s="6" t="s">
        <x:v>1546</x:v>
      </x:c>
    </x:row>
    <x:row r="42" spans="1:14" s="2" customFormat="1" ht="20.100000000000001" customHeight="1">
      <x:c r="A42" s="299"/>
      <x:c r="B42" s="3" t="s">
        <x:v>926</x:v>
      </x:c>
      <x:c r="C42" s="3" t="s">
        <x:v>404</x:v>
      </x:c>
      <x:c r="D42" s="163">
        <x:v>385340</x:v>
      </x:c>
      <x:c r="E42" s="209"/>
      <x:c r="F42" s="5">
        <x:f t="shared" si="9"/>
        <x:v>385340</x:v>
      </x:c>
      <x:c r="G42" s="6" t="s">
        <x:v>577</x:v>
      </x:c>
      <x:c r="H42" s="299"/>
      <x:c r="I42" s="3" t="s">
        <x:v>247</x:v>
      </x:c>
      <x:c r="J42" s="3" t="s">
        <x:v>231</x:v>
      </x:c>
      <x:c r="K42" s="163">
        <x:v>26348</x:v>
      </x:c>
      <x:c r="L42" s="4">
        <x:f>+INT(K42*0.1)</x:f>
        <x:v>2634</x:v>
      </x:c>
      <x:c r="M42" s="5">
        <x:f t="shared" si="7"/>
        <x:v>28982</x:v>
      </x:c>
      <x:c r="N42" s="6" t="s">
        <x:v>1451</x:v>
      </x:c>
    </x:row>
    <x:row r="43" spans="1:14" s="2" customFormat="1" ht="20.100000000000001" customHeight="1">
      <x:c r="A43" s="299"/>
      <x:c r="B43" s="3" t="s">
        <x:v>162</x:v>
      </x:c>
      <x:c r="C43" s="3" t="s">
        <x:v>1632</x:v>
      </x:c>
      <x:c r="D43" s="163">
        <x:v>203000</x:v>
      </x:c>
      <x:c r="E43" s="209"/>
      <x:c r="F43" s="5">
        <x:f t="shared" si="9"/>
        <x:v>203000</x:v>
      </x:c>
      <x:c r="G43" s="6"/>
      <x:c r="H43" s="299"/>
      <x:c r="I43" s="3" t="s">
        <x:v>926</x:v>
      </x:c>
      <x:c r="J43" s="3" t="s">
        <x:v>404</x:v>
      </x:c>
      <x:c r="K43" s="163"/>
      <x:c r="L43" s="4"/>
      <x:c r="M43" s="5">
        <x:f t="shared" si="7"/>
        <x:v>0</x:v>
      </x:c>
      <x:c r="N43" s="6" t="s">
        <x:v>578</x:v>
      </x:c>
    </x:row>
    <x:row r="44" spans="1:14" s="2" customFormat="1" ht="20.100000000000001" customHeight="1">
      <x:c r="A44" s="300"/>
      <x:c r="B44" s="3"/>
      <x:c r="C44" s="3"/>
      <x:c r="D44" s="163"/>
      <x:c r="E44" s="209"/>
      <x:c r="F44" s="5">
        <x:f t="shared" si="8"/>
        <x:v>0</x:v>
      </x:c>
      <x:c r="G44" s="6"/>
      <x:c r="H44" s="300"/>
      <x:c r="I44" s="3" t="s">
        <x:v>1652</x:v>
      </x:c>
      <x:c r="J44" s="3" t="s">
        <x:v>167</x:v>
      </x:c>
      <x:c r="K44" s="163">
        <x:v>190000</x:v>
      </x:c>
      <x:c r="L44" s="4">
        <x:f>+K44*0.1</x:f>
        <x:v>19000</x:v>
      </x:c>
      <x:c r="M44" s="5">
        <x:f t="shared" si="7"/>
        <x:v>209000</x:v>
      </x:c>
      <x:c r="N44" s="6"/>
    </x:row>
    <x:row r="45" spans="1:14" s="2" customFormat="1" ht="20.100000000000001" customHeight="1">
      <x:c r="A45" s="7" t="s">
        <x:v>155</x:v>
      </x:c>
      <x:c r="B45" s="8"/>
      <x:c r="C45" s="8"/>
      <x:c r="D45" s="9">
        <x:f>SUM(D32:D44)</x:f>
        <x:v>4840496</x:v>
      </x:c>
      <x:c r="E45" s="9">
        <x:f>SUM(E32:E44)</x:f>
        <x:v>245804</x:v>
      </x:c>
      <x:c r="F45" s="10">
        <x:f>SUM(F32:F44)</x:f>
        <x:v>5086300</x:v>
      </x:c>
      <x:c r="G45" s="11"/>
      <x:c r="H45" s="7" t="s">
        <x:v>155</x:v>
      </x:c>
      <x:c r="I45" s="8"/>
      <x:c r="J45" s="8"/>
      <x:c r="K45" s="9">
        <x:f>SUM(K32:K44)</x:f>
        <x:v>8297728</x:v>
      </x:c>
      <x:c r="L45" s="9">
        <x:f>SUM(L32:L44)</x:f>
        <x:v>517034</x:v>
      </x:c>
      <x:c r="M45" s="10">
        <x:f>SUM(M32:M44)</x:f>
        <x:v>8814762</x:v>
      </x:c>
      <x:c r="N45" s="11"/>
    </x:row>
    <x:row r="46" spans="1:14" s="2" customFormat="1" ht="20.100000000000001" customHeight="1">
      <x:c r="A46" s="12" t="s">
        <x:v>1690</x:v>
      </x:c>
      <x:c r="B46" s="13"/>
      <x:c r="C46" s="13"/>
      <x:c r="D46" s="14">
        <x:f>+D20+D27+D31+D45</x:f>
        <x:v>380674259</x:v>
      </x:c>
      <x:c r="E46" s="14">
        <x:f>+E20+E27+E31+E45</x:f>
        <x:v>28686679.899999999</x:v>
      </x:c>
      <x:c r="F46" s="15">
        <x:f>+F20+F27+F31+F45</x:f>
        <x:v>409360938.89999998</x:v>
      </x:c>
      <x:c r="G46" s="16"/>
      <x:c r="H46" s="12" t="s">
        <x:v>1690</x:v>
      </x:c>
      <x:c r="I46" s="13"/>
      <x:c r="J46" s="13"/>
      <x:c r="K46" s="14">
        <x:f>+K20+K27+K31+K45</x:f>
        <x:v>1047697873</x:v>
      </x:c>
      <x:c r="L46" s="14">
        <x:f>+L20+L27+L31+L45</x:f>
        <x:v>95426248</x:v>
      </x:c>
      <x:c r="M46" s="15">
        <x:f>+M20+M27+M31+M45</x:f>
        <x:v>1143124121</x:v>
      </x:c>
      <x:c r="N46" s="16"/>
    </x:row>
    <x:row r="47" spans="1:14" s="2" customFormat="1" ht="20.100000000000001" customHeight="1">
      <x:c r="A47" s="23" t="s">
        <x:v>35</x:v>
      </x:c>
      <x:c r="B47" s="24"/>
      <x:c r="C47" s="24"/>
      <x:c r="D47" s="25">
        <x:f>+D4-D46</x:f>
        <x:v>182125741</x:v>
      </x:c>
      <x:c r="E47" s="25">
        <x:f>+E4-E46</x:f>
        <x:v>-11486679.899999999</x:v>
      </x:c>
      <x:c r="F47" s="26">
        <x:f>+F4-F46</x:f>
        <x:v>170639061.10000002</x:v>
      </x:c>
      <x:c r="G47" s="27"/>
      <x:c r="H47" s="23" t="s">
        <x:v>35</x:v>
      </x:c>
      <x:c r="I47" s="24"/>
      <x:c r="J47" s="24"/>
      <x:c r="K47" s="25">
        <x:f>+K4-K46</x:f>
        <x:v>-269197873</x:v>
      </x:c>
      <x:c r="L47" s="25">
        <x:f>+L4-L46</x:f>
        <x:v>-17576248</x:v>
      </x:c>
      <x:c r="M47" s="26">
        <x:f>+M4-M46</x:f>
        <x:v>-286774121</x:v>
      </x:c>
      <x:c r="N47" s="27"/>
    </x:row>
    <x:row r="48" spans="1:14" s="2" customFormat="1" ht="20.100000000000001" customHeight="1">
      <x:c r="A48" s="302" t="s">
        <x:v>410</x:v>
      </x:c>
      <x:c r="B48" s="303"/>
      <x:c r="C48" s="303"/>
      <x:c r="D48" s="303"/>
      <x:c r="E48" s="303"/>
      <x:c r="F48" s="304"/>
      <x:c r="G48" s="305"/>
      <x:c r="H48" s="302" t="s">
        <x:v>466</x:v>
      </x:c>
      <x:c r="I48" s="303"/>
      <x:c r="J48" s="303"/>
      <x:c r="K48" s="303"/>
      <x:c r="L48" s="303"/>
      <x:c r="M48" s="304"/>
      <x:c r="N48" s="305"/>
    </x:row>
    <x:row r="49" spans="1:14" s="2" customFormat="1" ht="20.100000000000001" customHeight="1">
      <x:c r="A49" s="29" t="s">
        <x:v>147</x:v>
      </x:c>
      <x:c r="B49" s="283" t="s">
        <x:v>144</x:v>
      </x:c>
      <x:c r="C49" s="283" t="s">
        <x:v>150</x:v>
      </x:c>
      <x:c r="D49" s="31" t="s">
        <x:v>145</x:v>
      </x:c>
      <x:c r="E49" s="31" t="s">
        <x:v>152</x:v>
      </x:c>
      <x:c r="F49" s="31" t="s">
        <x:v>146</x:v>
      </x:c>
      <x:c r="G49" s="34" t="s">
        <x:v>154</x:v>
      </x:c>
      <x:c r="H49" s="29" t="s">
        <x:v>147</x:v>
      </x:c>
      <x:c r="I49" s="283" t="s">
        <x:v>144</x:v>
      </x:c>
      <x:c r="J49" s="283" t="s">
        <x:v>150</x:v>
      </x:c>
      <x:c r="K49" s="31" t="s">
        <x:v>145</x:v>
      </x:c>
      <x:c r="L49" s="31" t="s">
        <x:v>152</x:v>
      </x:c>
      <x:c r="M49" s="32" t="s">
        <x:v>146</x:v>
      </x:c>
      <x:c r="N49" s="33" t="s">
        <x:v>154</x:v>
      </x:c>
    </x:row>
    <x:row r="50" spans="1:14" s="2" customFormat="1" ht="20.100000000000001" customHeight="1">
      <x:c r="A50" s="41" t="s">
        <x:v>151</x:v>
      </x:c>
      <x:c r="B50" s="149" t="s">
        <x:v>1679</x:v>
      </x:c>
      <x:c r="C50" s="149" t="s">
        <x:v>488</x:v>
      </x:c>
      <x:c r="D50" s="150">
        <x:v>120000000</x:v>
      </x:c>
      <x:c r="E50" s="150">
        <x:f t="shared" ref="E50:E56" si="10">+D50*0.1</x:f>
        <x:v>12000000</x:v>
      </x:c>
      <x:c r="F50" s="40">
        <x:f>+D50+E50</x:f>
        <x:v>132000000</x:v>
      </x:c>
      <x:c r="G50" s="42" t="s">
        <x:v>432</x:v>
      </x:c>
      <x:c r="H50" s="282" t="s">
        <x:v>151</x:v>
      </x:c>
      <x:c r="I50" s="38" t="s">
        <x:v>1679</x:v>
      </x:c>
      <x:c r="J50" s="38" t="s">
        <x:v>791</x:v>
      </x:c>
      <x:c r="K50" s="39"/>
      <x:c r="L50" s="39">
        <x:f>+K50*0.1</x:f>
        <x:v>0</x:v>
      </x:c>
      <x:c r="M50" s="40">
        <x:f t="shared" ref="M50:M57" si="11">+K50+L50</x:f>
        <x:v>0</x:v>
      </x:c>
      <x:c r="N50" s="18" t="s">
        <x:v>582</x:v>
      </x:c>
    </x:row>
    <x:row r="51" spans="1:14" s="2" customFormat="1" ht="20.100000000000001" customHeight="1">
      <x:c r="A51" s="298" t="s">
        <x:v>148</x:v>
      </x:c>
      <x:c r="B51" s="267" t="s">
        <x:v>867</x:v>
      </x:c>
      <x:c r="C51" s="129" t="s">
        <x:v>369</x:v>
      </x:c>
      <x:c r="D51" s="268">
        <x:v>1526650</x:v>
      </x:c>
      <x:c r="E51" s="268">
        <x:f t="shared" si="10"/>
        <x:v>152665</x:v>
      </x:c>
      <x:c r="F51" s="274">
        <x:f t="shared" ref="F51:F64" si="12">+D51+E51</x:f>
        <x:v>1679315</x:v>
      </x:c>
      <x:c r="G51" s="275"/>
      <x:c r="H51" s="298" t="s">
        <x:v>148</x:v>
      </x:c>
      <x:c r="I51" s="211" t="s">
        <x:v>774</x:v>
      </x:c>
      <x:c r="J51" s="211" t="s">
        <x:v>1645</x:v>
      </x:c>
      <x:c r="K51" s="228">
        <x:v>850000</x:v>
      </x:c>
      <x:c r="L51" s="228">
        <x:f t="shared" ref="L51:L58" si="13">+K51*0.1</x:f>
        <x:v>85000</x:v>
      </x:c>
      <x:c r="M51" s="251">
        <x:f t="shared" si="11"/>
        <x:v>935000</x:v>
      </x:c>
      <x:c r="N51" s="273"/>
    </x:row>
    <x:row r="52" spans="1:14" s="2" customFormat="1" ht="20.100000000000001" customHeight="1">
      <x:c r="A52" s="299"/>
      <x:c r="B52" s="267" t="s">
        <x:v>1443</x:v>
      </x:c>
      <x:c r="C52" s="129" t="s">
        <x:v>179</x:v>
      </x:c>
      <x:c r="D52" s="268"/>
      <x:c r="E52" s="269">
        <x:f t="shared" si="10"/>
        <x:v>0</x:v>
      </x:c>
      <x:c r="F52" s="130">
        <x:f t="shared" si="12"/>
        <x:v>0</x:v>
      </x:c>
      <x:c r="G52" s="276" t="s">
        <x:v>1532</x:v>
      </x:c>
      <x:c r="H52" s="299"/>
      <x:c r="I52" s="162"/>
      <x:c r="J52" s="262"/>
      <x:c r="K52" s="163"/>
      <x:c r="L52" s="163">
        <x:f t="shared" si="13"/>
        <x:v>0</x:v>
      </x:c>
      <x:c r="M52" s="164">
        <x:f t="shared" si="11"/>
        <x:v>0</x:v>
      </x:c>
      <x:c r="N52" s="180"/>
    </x:row>
    <x:row r="53" spans="1:14" s="2" customFormat="1" ht="20.100000000000001" customHeight="1">
      <x:c r="A53" s="299"/>
      <x:c r="B53" s="129" t="s">
        <x:v>1348</x:v>
      </x:c>
      <x:c r="C53" s="262" t="s">
        <x:v>1649</x:v>
      </x:c>
      <x:c r="D53" s="227">
        <x:v>157600</x:v>
      </x:c>
      <x:c r="E53" s="227">
        <x:f t="shared" si="10"/>
        <x:v>15760</x:v>
      </x:c>
      <x:c r="F53" s="271">
        <x:f t="shared" si="12"/>
        <x:v>173360</x:v>
      </x:c>
      <x:c r="G53" s="272"/>
      <x:c r="H53" s="299"/>
      <x:c r="I53" s="162"/>
      <x:c r="J53" s="262"/>
      <x:c r="K53" s="163"/>
      <x:c r="L53" s="163">
        <x:f t="shared" si="13"/>
        <x:v>0</x:v>
      </x:c>
      <x:c r="M53" s="164">
        <x:f t="shared" si="11"/>
        <x:v>0</x:v>
      </x:c>
      <x:c r="N53" s="180"/>
    </x:row>
    <x:row r="54" spans="1:14" s="2" customFormat="1" ht="20.100000000000001" customHeight="1">
      <x:c r="A54" s="299"/>
      <x:c r="B54" s="129" t="s">
        <x:v>864</x:v>
      </x:c>
      <x:c r="C54" s="129"/>
      <x:c r="D54" s="227"/>
      <x:c r="E54" s="130">
        <x:f t="shared" si="10"/>
        <x:v>0</x:v>
      </x:c>
      <x:c r="F54" s="131">
        <x:f t="shared" si="12"/>
        <x:v>0</x:v>
      </x:c>
      <x:c r="G54" s="132"/>
      <x:c r="H54" s="299"/>
      <x:c r="I54" s="162"/>
      <x:c r="J54" s="262"/>
      <x:c r="K54" s="163"/>
      <x:c r="L54" s="163">
        <x:f t="shared" si="13"/>
        <x:v>0</x:v>
      </x:c>
      <x:c r="M54" s="164">
        <x:f t="shared" si="11"/>
        <x:v>0</x:v>
      </x:c>
      <x:c r="N54" s="180"/>
    </x:row>
    <x:row r="55" spans="1:14" s="2" customFormat="1" ht="20.100000000000001" customHeight="1">
      <x:c r="A55" s="299"/>
      <x:c r="B55" s="129" t="s">
        <x:v>1058</x:v>
      </x:c>
      <x:c r="C55" s="129" t="s">
        <x:v>595</x:v>
      </x:c>
      <x:c r="D55" s="227">
        <x:v>15012000</x:v>
      </x:c>
      <x:c r="E55" s="130">
        <x:f t="shared" si="10"/>
        <x:v>1501200</x:v>
      </x:c>
      <x:c r="F55" s="131">
        <x:f t="shared" si="12"/>
        <x:v>16513200</x:v>
      </x:c>
      <x:c r="G55" s="132"/>
      <x:c r="H55" s="299"/>
      <x:c r="I55" s="162"/>
      <x:c r="J55" s="262"/>
      <x:c r="K55" s="163"/>
      <x:c r="L55" s="163">
        <x:f t="shared" si="13"/>
        <x:v>0</x:v>
      </x:c>
      <x:c r="M55" s="164">
        <x:f t="shared" si="11"/>
        <x:v>0</x:v>
      </x:c>
      <x:c r="N55" s="180"/>
    </x:row>
    <x:row r="56" spans="1:14" s="2" customFormat="1" ht="20.100000000000001" customHeight="1">
      <x:c r="A56" s="299"/>
      <x:c r="B56" s="129" t="s">
        <x:v>228</x:v>
      </x:c>
      <x:c r="C56" s="129" t="s">
        <x:v>1659</x:v>
      </x:c>
      <x:c r="D56" s="227"/>
      <x:c r="E56" s="227">
        <x:f t="shared" si="10"/>
        <x:v>0</x:v>
      </x:c>
      <x:c r="F56" s="271">
        <x:f t="shared" si="12"/>
        <x:v>0</x:v>
      </x:c>
      <x:c r="G56" s="270"/>
      <x:c r="H56" s="299"/>
      <x:c r="I56" s="162"/>
      <x:c r="J56" s="262"/>
      <x:c r="K56" s="163"/>
      <x:c r="L56" s="163">
        <x:f t="shared" si="13"/>
        <x:v>0</x:v>
      </x:c>
      <x:c r="M56" s="164">
        <x:f t="shared" si="11"/>
        <x:v>0</x:v>
      </x:c>
      <x:c r="N56" s="180"/>
    </x:row>
    <x:row r="57" spans="1:14" s="2" customFormat="1" ht="20.100000000000001" customHeight="1">
      <x:c r="A57" s="299"/>
      <x:c r="B57" s="129" t="s">
        <x:v>854</x:v>
      </x:c>
      <x:c r="C57" s="129" t="s">
        <x:v>1704</x:v>
      </x:c>
      <x:c r="D57" s="227"/>
      <x:c r="E57" s="130">
        <x:f t="shared" ref="E57:E63" si="14">+D57*0.1</x:f>
        <x:v>0</x:v>
      </x:c>
      <x:c r="F57" s="131">
        <x:f t="shared" si="12"/>
        <x:v>0</x:v>
      </x:c>
      <x:c r="G57" s="132"/>
      <x:c r="H57" s="299"/>
      <x:c r="I57" s="162"/>
      <x:c r="J57" s="262"/>
      <x:c r="K57" s="163"/>
      <x:c r="L57" s="163">
        <x:f t="shared" si="13"/>
        <x:v>0</x:v>
      </x:c>
      <x:c r="M57" s="164">
        <x:f t="shared" si="11"/>
        <x:v>0</x:v>
      </x:c>
      <x:c r="N57" s="180"/>
    </x:row>
    <x:row r="58" spans="1:14" s="2" customFormat="1" ht="20.100000000000001" customHeight="1">
      <x:c r="A58" s="299"/>
      <x:c r="B58" s="267" t="s">
        <x:v>1443</x:v>
      </x:c>
      <x:c r="C58" s="129" t="s">
        <x:v>179</x:v>
      </x:c>
      <x:c r="D58" s="227">
        <x:v>610250</x:v>
      </x:c>
      <x:c r="E58" s="130">
        <x:f t="shared" si="14"/>
        <x:v>61025</x:v>
      </x:c>
      <x:c r="F58" s="131">
        <x:f t="shared" si="12"/>
        <x:v>671275</x:v>
      </x:c>
      <x:c r="G58" s="132"/>
      <x:c r="H58" s="299"/>
      <x:c r="I58" s="162"/>
      <x:c r="J58" s="262"/>
      <x:c r="K58" s="163"/>
      <x:c r="L58" s="163">
        <x:f t="shared" si="13"/>
        <x:v>0</x:v>
      </x:c>
      <x:c r="M58" s="164">
        <x:f>+K58+L58</x:f>
        <x:v>0</x:v>
      </x:c>
      <x:c r="N58" s="180"/>
    </x:row>
    <x:row r="59" spans="1:14" s="2" customFormat="1" ht="20.100000000000001" customHeight="1">
      <x:c r="A59" s="299"/>
      <x:c r="B59" s="129" t="s">
        <x:v>1655</x:v>
      </x:c>
      <x:c r="C59" s="129" t="s">
        <x:v>1674</x:v>
      </x:c>
      <x:c r="D59" s="227"/>
      <x:c r="E59" s="130">
        <x:f t="shared" si="14"/>
        <x:v>0</x:v>
      </x:c>
      <x:c r="F59" s="131">
        <x:f t="shared" si="12"/>
        <x:v>0</x:v>
      </x:c>
      <x:c r="G59" s="132"/>
      <x:c r="H59" s="299"/>
      <x:c r="I59" s="162"/>
      <x:c r="J59" s="262"/>
      <x:c r="K59" s="163"/>
      <x:c r="L59" s="163"/>
      <x:c r="M59" s="164">
        <x:f>+K59+L59</x:f>
        <x:v>0</x:v>
      </x:c>
      <x:c r="N59" s="180"/>
    </x:row>
    <x:row r="60" spans="1:14" s="2" customFormat="1" ht="20.100000000000001" customHeight="1">
      <x:c r="A60" s="299"/>
      <x:c r="B60" s="129" t="s">
        <x:v>846</x:v>
      </x:c>
      <x:c r="C60" s="129" t="s">
        <x:v>590</x:v>
      </x:c>
      <x:c r="D60" s="227">
        <x:v>40000</x:v>
      </x:c>
      <x:c r="E60" s="227">
        <x:f t="shared" si="14"/>
        <x:v>4000</x:v>
      </x:c>
      <x:c r="F60" s="271">
        <x:f t="shared" si="12"/>
        <x:v>44000</x:v>
      </x:c>
      <x:c r="G60" s="132"/>
      <x:c r="H60" s="299"/>
      <x:c r="I60" s="162"/>
      <x:c r="J60" s="262"/>
      <x:c r="K60" s="163"/>
      <x:c r="L60" s="163">
        <x:f>+K60*0.1</x:f>
        <x:v>0</x:v>
      </x:c>
      <x:c r="M60" s="164">
        <x:f>+K60+L60</x:f>
        <x:v>0</x:v>
      </x:c>
      <x:c r="N60" s="180"/>
    </x:row>
    <x:row r="61" spans="1:14" s="2" customFormat="1" ht="20.100000000000001" customHeight="1">
      <x:c r="A61" s="299"/>
      <x:c r="B61" s="129" t="s">
        <x:v>838</x:v>
      </x:c>
      <x:c r="C61" s="129" t="s">
        <x:v>1189</x:v>
      </x:c>
      <x:c r="D61" s="227"/>
      <x:c r="E61" s="227">
        <x:f t="shared" si="14"/>
        <x:v>0</x:v>
      </x:c>
      <x:c r="F61" s="271">
        <x:f t="shared" si="12"/>
        <x:v>0</x:v>
      </x:c>
      <x:c r="G61" s="270"/>
      <x:c r="H61" s="299"/>
      <x:c r="I61" s="162"/>
      <x:c r="J61" s="262"/>
      <x:c r="K61" s="163"/>
      <x:c r="L61" s="163"/>
      <x:c r="M61" s="164">
        <x:f>+K61+L61</x:f>
        <x:v>0</x:v>
      </x:c>
      <x:c r="N61" s="180"/>
    </x:row>
    <x:row r="62" spans="1:14" s="2" customFormat="1" ht="20.100000000000001" customHeight="1">
      <x:c r="A62" s="299"/>
      <x:c r="B62" s="129" t="s">
        <x:v>1436</x:v>
      </x:c>
      <x:c r="C62" s="129" t="s">
        <x:v>581</x:v>
      </x:c>
      <x:c r="D62" s="227">
        <x:v>96432</x:v>
      </x:c>
      <x:c r="E62" s="227">
        <x:f t="shared" si="14"/>
        <x:v>9643.2000000000007</x:v>
      </x:c>
      <x:c r="F62" s="271">
        <x:f t="shared" si="12"/>
        <x:v>106075.2</x:v>
      </x:c>
      <x:c r="G62" s="276" t="s">
        <x:v>1423</x:v>
      </x:c>
      <x:c r="H62" s="299"/>
      <x:c r="I62" s="162"/>
      <x:c r="J62" s="262"/>
      <x:c r="K62" s="163"/>
      <x:c r="L62" s="163">
        <x:f>+K62*0.1</x:f>
        <x:v>0</x:v>
      </x:c>
      <x:c r="M62" s="164">
        <x:f t="shared" ref="M62:M63" si="15">+K62+L62</x:f>
        <x:v>0</x:v>
      </x:c>
      <x:c r="N62" s="180"/>
    </x:row>
    <x:row r="63" spans="1:14" s="2" customFormat="1" ht="20.100000000000001" customHeight="1">
      <x:c r="A63" s="299"/>
      <x:c r="B63" s="129" t="s">
        <x:v>1102</x:v>
      </x:c>
      <x:c r="C63" s="129" t="s">
        <x:v>1215</x:v>
      </x:c>
      <x:c r="D63" s="227">
        <x:v>4500000</x:v>
      </x:c>
      <x:c r="E63" s="227">
        <x:f t="shared" si="14"/>
        <x:v>450000</x:v>
      </x:c>
      <x:c r="F63" s="271">
        <x:f t="shared" si="12"/>
        <x:v>4950000</x:v>
      </x:c>
      <x:c r="G63" s="270"/>
      <x:c r="H63" s="299"/>
      <x:c r="I63" s="162"/>
      <x:c r="J63" s="262"/>
      <x:c r="K63" s="163"/>
      <x:c r="L63" s="163">
        <x:f>+K63*0.1</x:f>
        <x:v>0</x:v>
      </x:c>
      <x:c r="M63" s="164">
        <x:f t="shared" si="15"/>
        <x:v>0</x:v>
      </x:c>
      <x:c r="N63" s="180"/>
    </x:row>
    <x:row r="64" spans="1:14" s="2" customFormat="1" ht="20.100000000000001" customHeight="1">
      <x:c r="A64" s="299"/>
      <x:c r="B64" s="267" t="s">
        <x:v>1443</x:v>
      </x:c>
      <x:c r="C64" s="129" t="s">
        <x:v>191</x:v>
      </x:c>
      <x:c r="D64" s="227">
        <x:v>920000</x:v>
      </x:c>
      <x:c r="E64" s="130">
        <x:f>+D64*0.1</x:f>
        <x:v>92000</x:v>
      </x:c>
      <x:c r="F64" s="131">
        <x:f t="shared" si="12"/>
        <x:v>1012000</x:v>
      </x:c>
      <x:c r="G64" s="276" t="s">
        <x:v>1423</x:v>
      </x:c>
      <x:c r="H64" s="299"/>
      <x:c r="I64" s="162"/>
      <x:c r="J64" s="162"/>
      <x:c r="K64" s="163"/>
      <x:c r="L64" s="163"/>
      <x:c r="M64" s="164"/>
      <x:c r="N64" s="180"/>
    </x:row>
    <x:row r="65" spans="1:14" s="2" customFormat="1" ht="20.100000000000001" customHeight="1">
      <x:c r="A65" s="299"/>
      <x:c r="B65" s="129"/>
      <x:c r="C65" s="129"/>
      <x:c r="D65" s="227"/>
      <x:c r="E65" s="130"/>
      <x:c r="F65" s="131"/>
      <x:c r="G65" s="132"/>
      <x:c r="H65" s="299"/>
      <x:c r="I65" s="3"/>
      <x:c r="J65" s="3"/>
      <x:c r="K65" s="163"/>
      <x:c r="L65" s="4"/>
      <x:c r="M65" s="5"/>
      <x:c r="N65" s="6"/>
    </x:row>
    <x:row r="66" spans="1:14" s="2" customFormat="1" ht="20.100000000000001" customHeight="1">
      <x:c r="A66" s="299"/>
      <x:c r="B66" s="129"/>
      <x:c r="C66" s="129"/>
      <x:c r="D66" s="227"/>
      <x:c r="E66" s="130"/>
      <x:c r="F66" s="131"/>
      <x:c r="G66" s="132"/>
      <x:c r="H66" s="299"/>
      <x:c r="I66" s="3"/>
      <x:c r="J66" s="3"/>
      <x:c r="K66" s="163"/>
      <x:c r="L66" s="4"/>
      <x:c r="M66" s="5"/>
      <x:c r="N66" s="6"/>
    </x:row>
    <x:row r="67" spans="1:14" s="2" customFormat="1" ht="20.100000000000001" customHeight="1">
      <x:c r="A67" s="299"/>
      <x:c r="B67" s="129"/>
      <x:c r="C67" s="129"/>
      <x:c r="D67" s="227"/>
      <x:c r="E67" s="130">
        <x:f>+D67*0.1</x:f>
        <x:v>0</x:v>
      </x:c>
      <x:c r="F67" s="131">
        <x:f>+D67+E67</x:f>
        <x:v>0</x:v>
      </x:c>
      <x:c r="G67" s="132"/>
      <x:c r="H67" s="300"/>
      <x:c r="I67" s="3"/>
      <x:c r="J67" s="3"/>
      <x:c r="K67" s="163"/>
      <x:c r="L67" s="4"/>
      <x:c r="M67" s="5"/>
      <x:c r="N67" s="6"/>
    </x:row>
    <x:row r="68" spans="1:14" s="2" customFormat="1" ht="20.100000000000001" customHeight="1">
      <x:c r="A68" s="7" t="s">
        <x:v>155</x:v>
      </x:c>
      <x:c r="B68" s="8"/>
      <x:c r="C68" s="8"/>
      <x:c r="D68" s="80">
        <x:f>SUM(D51:D67)</x:f>
        <x:v>22862932</x:v>
      </x:c>
      <x:c r="E68" s="9">
        <x:f>SUM(E51:E67)</x:f>
        <x:v>2286293.2000000002</x:v>
      </x:c>
      <x:c r="F68" s="10">
        <x:f>SUM(F51:F67)</x:f>
        <x:v>25149225.199999999</x:v>
      </x:c>
      <x:c r="G68" s="11"/>
      <x:c r="H68" s="7" t="s">
        <x:v>155</x:v>
      </x:c>
      <x:c r="I68" s="8"/>
      <x:c r="J68" s="8"/>
      <x:c r="K68" s="80">
        <x:f>SUM(K51:K67)</x:f>
        <x:v>850000</x:v>
      </x:c>
      <x:c r="L68" s="9">
        <x:f>SUM(L51:L67)</x:f>
        <x:v>85000</x:v>
      </x:c>
      <x:c r="M68" s="10">
        <x:f>SUM(M51:M67)</x:f>
        <x:v>935000</x:v>
      </x:c>
      <x:c r="N68" s="11"/>
    </x:row>
    <x:row r="69" spans="1:14" s="2" customFormat="1" ht="20.100000000000001" customHeight="1">
      <x:c r="A69" s="301" t="s">
        <x:v>153</x:v>
      </x:c>
      <x:c r="B69" s="3" t="s">
        <x:v>1677</x:v>
      </x:c>
      <x:c r="C69" s="3" t="s">
        <x:v>1096</x:v>
      </x:c>
      <x:c r="D69" s="163">
        <x:f>4800000+6000000+8430000</x:f>
        <x:v>19230000</x:v>
      </x:c>
      <x:c r="E69" s="4"/>
      <x:c r="F69" s="5">
        <x:f>+D69+E69</x:f>
        <x:v>19230000</x:v>
      </x:c>
      <x:c r="G69" s="6" t="s">
        <x:v>1423</x:v>
      </x:c>
      <x:c r="H69" s="301" t="s">
        <x:v>153</x:v>
      </x:c>
      <x:c r="I69" s="3" t="s">
        <x:v>1677</x:v>
      </x:c>
      <x:c r="J69" s="3" t="s">
        <x:v>1096</x:v>
      </x:c>
      <x:c r="K69" s="163"/>
      <x:c r="L69" s="44"/>
      <x:c r="M69" s="45">
        <x:f>+K69+L69</x:f>
        <x:v>0</x:v>
      </x:c>
      <x:c r="N69" s="37"/>
    </x:row>
    <x:row r="70" spans="1:14" s="2" customFormat="1" ht="20.100000000000001" customHeight="1">
      <x:c r="A70" s="299"/>
      <x:c r="B70" s="154" t="s">
        <x:v>585</x:v>
      </x:c>
      <x:c r="C70" s="155" t="s">
        <x:v>286</x:v>
      </x:c>
      <x:c r="D70" s="242">
        <x:v>1000000</x:v>
      </x:c>
      <x:c r="E70" s="130"/>
      <x:c r="F70" s="131">
        <x:f>+D70+E70</x:f>
        <x:v>1000000</x:v>
      </x:c>
      <x:c r="G70" s="132"/>
      <x:c r="H70" s="299"/>
      <x:c r="I70" s="3"/>
      <x:c r="J70" s="3"/>
      <x:c r="K70" s="163"/>
      <x:c r="L70" s="44"/>
      <x:c r="M70" s="45">
        <x:f>+K70+L70</x:f>
        <x:v>0</x:v>
      </x:c>
      <x:c r="N70" s="37"/>
    </x:row>
    <x:row r="71" spans="1:14" s="2" customFormat="1" ht="20.100000000000001" customHeight="1">
      <x:c r="A71" s="299"/>
      <x:c r="B71" s="154"/>
      <x:c r="C71" s="3"/>
      <x:c r="D71" s="156"/>
      <x:c r="E71" s="156"/>
      <x:c r="F71" s="36">
        <x:f>+D71+E71</x:f>
        <x:v>0</x:v>
      </x:c>
      <x:c r="G71" s="37"/>
      <x:c r="H71" s="299"/>
      <x:c r="I71" s="3"/>
      <x:c r="J71" s="3"/>
      <x:c r="K71" s="163"/>
      <x:c r="L71" s="4"/>
      <x:c r="M71" s="5">
        <x:f>+K71+L71</x:f>
        <x:v>0</x:v>
      </x:c>
      <x:c r="N71" s="6"/>
    </x:row>
    <x:row r="72" spans="1:14" s="2" customFormat="1" ht="20.100000000000001" customHeight="1">
      <x:c r="A72" s="300"/>
      <x:c r="B72" s="154"/>
      <x:c r="C72" s="155"/>
      <x:c r="D72" s="156"/>
      <x:c r="E72" s="156"/>
      <x:c r="F72" s="157"/>
      <x:c r="G72" s="158"/>
      <x:c r="H72" s="300"/>
      <x:c r="I72" s="3"/>
      <x:c r="J72" s="3"/>
      <x:c r="K72" s="163"/>
      <x:c r="L72" s="4"/>
      <x:c r="M72" s="5">
        <x:f>+K72+L72</x:f>
        <x:v>0</x:v>
      </x:c>
      <x:c r="N72" s="6"/>
    </x:row>
    <x:row r="73" spans="1:14" s="2" customFormat="1" ht="20.100000000000001" customHeight="1">
      <x:c r="A73" s="7" t="s">
        <x:v>155</x:v>
      </x:c>
      <x:c r="B73" s="8"/>
      <x:c r="C73" s="8"/>
      <x:c r="D73" s="80">
        <x:f>SUM(D69:D72)</x:f>
        <x:v>20230000</x:v>
      </x:c>
      <x:c r="E73" s="9">
        <x:f>SUM(E69:E72)</x:f>
        <x:v>0</x:v>
      </x:c>
      <x:c r="F73" s="10">
        <x:f>SUM(F69:F72)</x:f>
        <x:v>20230000</x:v>
      </x:c>
      <x:c r="G73" s="11"/>
      <x:c r="H73" s="7" t="s">
        <x:v>155</x:v>
      </x:c>
      <x:c r="I73" s="8"/>
      <x:c r="J73" s="8"/>
      <x:c r="K73" s="80">
        <x:f>SUM(K69:K72)</x:f>
        <x:v>0</x:v>
      </x:c>
      <x:c r="L73" s="9">
        <x:f>SUM(L69:L72)</x:f>
        <x:v>0</x:v>
      </x:c>
      <x:c r="M73" s="10">
        <x:f>SUM(M69:M72)</x:f>
        <x:v>0</x:v>
      </x:c>
      <x:c r="N73" s="11"/>
    </x:row>
    <x:row r="74" spans="1:14" s="2" customFormat="1" ht="20.100000000000001" customHeight="1">
      <x:c r="A74" s="301" t="s">
        <x:v>187</x:v>
      </x:c>
      <x:c r="B74" s="3" t="s">
        <x:v>1124</x:v>
      </x:c>
      <x:c r="C74" s="3" t="s">
        <x:v>1006</x:v>
      </x:c>
      <x:c r="D74" s="163">
        <x:v>300000</x:v>
      </x:c>
      <x:c r="E74" s="4">
        <x:f>+D74*0.1</x:f>
        <x:v>30000</x:v>
      </x:c>
      <x:c r="F74" s="5">
        <x:f t="shared" ref="F74:F79" si="16">+D74+E74</x:f>
        <x:v>330000</x:v>
      </x:c>
      <x:c r="G74" s="6" t="s">
        <x:v>278</x:v>
      </x:c>
      <x:c r="H74" s="301" t="s">
        <x:v>187</x:v>
      </x:c>
      <x:c r="I74" s="3"/>
      <x:c r="J74" s="3"/>
      <x:c r="K74" s="163"/>
      <x:c r="L74" s="4">
        <x:f>+K74*0.1</x:f>
        <x:v>0</x:v>
      </x:c>
      <x:c r="M74" s="5">
        <x:f>+K74+L74</x:f>
        <x:v>0</x:v>
      </x:c>
      <x:c r="N74" s="6"/>
    </x:row>
    <x:row r="75" spans="1:14" s="2" customFormat="1" ht="20.100000000000001" customHeight="1">
      <x:c r="A75" s="299"/>
      <x:c r="B75" s="178" t="s">
        <x:v>1676</x:v>
      </x:c>
      <x:c r="C75" s="163" t="s">
        <x:v>948</x:v>
      </x:c>
      <x:c r="D75" s="163">
        <x:v>140000</x:v>
      </x:c>
      <x:c r="E75" s="4">
        <x:f>+D75*0.1</x:f>
        <x:v>14000</x:v>
      </x:c>
      <x:c r="F75" s="5">
        <x:f t="shared" si="16"/>
        <x:v>154000</x:v>
      </x:c>
      <x:c r="G75" s="6"/>
      <x:c r="H75" s="299"/>
      <x:c r="I75" s="3"/>
      <x:c r="J75" s="3"/>
      <x:c r="K75" s="163"/>
      <x:c r="L75" s="4">
        <x:f>+K75*0.1</x:f>
        <x:v>0</x:v>
      </x:c>
      <x:c r="M75" s="5">
        <x:f>+K75+L75</x:f>
        <x:v>0</x:v>
      </x:c>
      <x:c r="N75" s="6"/>
    </x:row>
    <x:row r="76" spans="1:14" s="2" customFormat="1" ht="20.100000000000001" customHeight="1">
      <x:c r="A76" s="299"/>
      <x:c r="B76" s="3"/>
      <x:c r="C76" s="3"/>
      <x:c r="D76" s="163"/>
      <x:c r="E76" s="4">
        <x:f>+D76*0.1</x:f>
        <x:v>0</x:v>
      </x:c>
      <x:c r="F76" s="5">
        <x:f t="shared" si="16"/>
        <x:v>0</x:v>
      </x:c>
      <x:c r="G76" s="6"/>
      <x:c r="H76" s="299"/>
      <x:c r="I76" s="3"/>
      <x:c r="J76" s="3"/>
      <x:c r="K76" s="163"/>
      <x:c r="L76" s="4">
        <x:f>+K76*0.1</x:f>
        <x:v>0</x:v>
      </x:c>
      <x:c r="M76" s="5">
        <x:f>+K76+L76</x:f>
        <x:v>0</x:v>
      </x:c>
      <x:c r="N76" s="6"/>
    </x:row>
    <x:row r="77" spans="1:14" s="2" customFormat="1" ht="20.100000000000001" customHeight="1">
      <x:c r="A77" s="299"/>
      <x:c r="B77" s="3"/>
      <x:c r="C77" s="163"/>
      <x:c r="D77" s="163"/>
      <x:c r="E77" s="4">
        <x:f>+D77*0.1</x:f>
        <x:v>0</x:v>
      </x:c>
      <x:c r="F77" s="5">
        <x:f t="shared" si="16"/>
        <x:v>0</x:v>
      </x:c>
      <x:c r="G77" s="6"/>
      <x:c r="H77" s="299"/>
      <x:c r="I77" s="3"/>
      <x:c r="J77" s="3"/>
      <x:c r="K77" s="163"/>
      <x:c r="L77" s="4"/>
      <x:c r="M77" s="5"/>
      <x:c r="N77" s="6"/>
    </x:row>
    <x:row r="78" spans="1:14" s="2" customFormat="1" ht="20.100000000000001" customHeight="1">
      <x:c r="A78" s="299"/>
      <x:c r="B78" s="3"/>
      <x:c r="C78" s="3"/>
      <x:c r="D78" s="163"/>
      <x:c r="E78" s="4">
        <x:f>+D78*0.1</x:f>
        <x:v>0</x:v>
      </x:c>
      <x:c r="F78" s="5">
        <x:f t="shared" si="16"/>
        <x:v>0</x:v>
      </x:c>
      <x:c r="G78" s="6"/>
      <x:c r="H78" s="299"/>
      <x:c r="I78" s="3"/>
      <x:c r="J78" s="3"/>
      <x:c r="K78" s="163"/>
      <x:c r="L78" s="4"/>
      <x:c r="M78" s="5"/>
      <x:c r="N78" s="6"/>
    </x:row>
    <x:row r="79" spans="1:14" s="2" customFormat="1" ht="20.100000000000001" customHeight="1">
      <x:c r="A79" s="299"/>
      <x:c r="B79" s="3"/>
      <x:c r="C79" s="3"/>
      <x:c r="D79" s="163"/>
      <x:c r="E79" s="4"/>
      <x:c r="F79" s="5">
        <x:f t="shared" si="16"/>
        <x:v>0</x:v>
      </x:c>
      <x:c r="G79" s="6"/>
      <x:c r="H79" s="299"/>
      <x:c r="I79" s="3"/>
      <x:c r="J79" s="3"/>
      <x:c r="K79" s="163"/>
      <x:c r="L79" s="4"/>
      <x:c r="M79" s="5"/>
      <x:c r="N79" s="6"/>
    </x:row>
    <x:row r="80" spans="1:14" s="2" customFormat="1" ht="20.100000000000001" customHeight="1">
      <x:c r="A80" s="7" t="s">
        <x:v>155</x:v>
      </x:c>
      <x:c r="B80" s="8"/>
      <x:c r="C80" s="8"/>
      <x:c r="D80" s="80">
        <x:f>SUM(D74:D79)</x:f>
        <x:v>440000</x:v>
      </x:c>
      <x:c r="E80" s="9">
        <x:f>SUM(E74:E79)</x:f>
        <x:v>44000</x:v>
      </x:c>
      <x:c r="F80" s="10">
        <x:f>SUM(F74:F79)</x:f>
        <x:v>484000</x:v>
      </x:c>
      <x:c r="G80" s="11"/>
      <x:c r="H80" s="7" t="s">
        <x:v>155</x:v>
      </x:c>
      <x:c r="I80" s="8"/>
      <x:c r="J80" s="8"/>
      <x:c r="K80" s="80">
        <x:f>SUM(K74:K79)</x:f>
        <x:v>0</x:v>
      </x:c>
      <x:c r="L80" s="9">
        <x:f>SUM(L74:L79)</x:f>
        <x:v>0</x:v>
      </x:c>
      <x:c r="M80" s="10">
        <x:f>SUM(M74:M79)</x:f>
        <x:v>0</x:v>
      </x:c>
      <x:c r="N80" s="11"/>
    </x:row>
    <x:row r="81" spans="1:14" s="2" customFormat="1" ht="20.100000000000001" customHeight="1">
      <x:c r="A81" s="301" t="s">
        <x:v>149</x:v>
      </x:c>
      <x:c r="B81" s="3" t="s">
        <x:v>294</x:v>
      </x:c>
      <x:c r="C81" s="3" t="s">
        <x:v>149</x:v>
      </x:c>
      <x:c r="D81" s="4">
        <x:v>946570</x:v>
      </x:c>
      <x:c r="E81" s="4"/>
      <x:c r="F81" s="5">
        <x:f t="shared" ref="F81:F88" si="17">+D81+E81</x:f>
        <x:v>946570</x:v>
      </x:c>
      <x:c r="G81" s="6"/>
      <x:c r="H81" s="301" t="s">
        <x:v>149</x:v>
      </x:c>
      <x:c r="I81" s="3" t="s">
        <x:v>177</x:v>
      </x:c>
      <x:c r="J81" s="3" t="s">
        <x:v>492</x:v>
      </x:c>
      <x:c r="K81" s="163"/>
      <x:c r="L81" s="4"/>
      <x:c r="M81" s="5">
        <x:f>+K81+L81</x:f>
        <x:v>0</x:v>
      </x:c>
      <x:c r="N81" s="6"/>
    </x:row>
    <x:row r="82" spans="1:14" s="2" customFormat="1" ht="20.100000000000001" customHeight="1">
      <x:c r="A82" s="299"/>
      <x:c r="B82" s="3" t="s">
        <x:v>177</x:v>
      </x:c>
      <x:c r="C82" s="3" t="s">
        <x:v>149</x:v>
      </x:c>
      <x:c r="D82" s="163">
        <x:v>1822140</x:v>
      </x:c>
      <x:c r="E82" s="4"/>
      <x:c r="F82" s="5">
        <x:f t="shared" si="17"/>
        <x:v>1822140</x:v>
      </x:c>
      <x:c r="G82" s="6"/>
      <x:c r="H82" s="299"/>
      <x:c r="I82" s="3" t="s">
        <x:v>1341</x:v>
      </x:c>
      <x:c r="J82" s="3" t="s">
        <x:v>1496</x:v>
      </x:c>
      <x:c r="K82" s="163">
        <x:v>2000</x:v>
      </x:c>
      <x:c r="L82" s="4">
        <x:f>+K82*0.1</x:f>
        <x:v>200</x:v>
      </x:c>
      <x:c r="M82" s="5">
        <x:f t="shared" ref="M82:M93" si="18">+K82+L82</x:f>
        <x:v>2200</x:v>
      </x:c>
      <x:c r="N82" s="6"/>
    </x:row>
    <x:row r="83" spans="1:14" s="2" customFormat="1" ht="20.100000000000001" customHeight="1">
      <x:c r="A83" s="299"/>
      <x:c r="B83" s="3" t="s">
        <x:v>1680</x:v>
      </x:c>
      <x:c r="C83" s="3" t="s">
        <x:v>914</x:v>
      </x:c>
      <x:c r="D83" s="163">
        <x:v>100000</x:v>
      </x:c>
      <x:c r="E83" s="4">
        <x:f t="shared" ref="E83:E88" si="19">+D83*0.1</x:f>
        <x:v>10000</x:v>
      </x:c>
      <x:c r="F83" s="5">
        <x:f t="shared" si="17"/>
        <x:v>110000</x:v>
      </x:c>
      <x:c r="G83" s="6"/>
      <x:c r="H83" s="299"/>
      <x:c r="I83" s="3"/>
      <x:c r="J83" s="3"/>
      <x:c r="K83" s="163"/>
      <x:c r="L83" s="4"/>
      <x:c r="M83" s="5">
        <x:f t="shared" si="18"/>
        <x:v>0</x:v>
      </x:c>
      <x:c r="N83" s="6"/>
    </x:row>
    <x:row r="84" spans="1:14" s="2" customFormat="1" ht="20.100000000000001" customHeight="1">
      <x:c r="A84" s="299"/>
      <x:c r="B84" s="3" t="s">
        <x:v>883</x:v>
      </x:c>
      <x:c r="C84" s="3" t="s">
        <x:v>1417</x:v>
      </x:c>
      <x:c r="D84" s="163"/>
      <x:c r="E84" s="4">
        <x:f t="shared" si="19"/>
        <x:v>0</x:v>
      </x:c>
      <x:c r="F84" s="5">
        <x:f t="shared" si="17"/>
        <x:v>0</x:v>
      </x:c>
      <x:c r="G84" s="6" t="s">
        <x:v>250</x:v>
      </x:c>
      <x:c r="H84" s="299"/>
      <x:c r="I84" s="3"/>
      <x:c r="J84" s="3"/>
      <x:c r="K84" s="163"/>
      <x:c r="L84" s="4"/>
      <x:c r="M84" s="5">
        <x:f t="shared" si="18"/>
        <x:v>0</x:v>
      </x:c>
      <x:c r="N84" s="6"/>
    </x:row>
    <x:row r="85" spans="1:14" s="2" customFormat="1" ht="20.100000000000001" customHeight="1">
      <x:c r="A85" s="299"/>
      <x:c r="B85" s="3" t="s">
        <x:v>247</x:v>
      </x:c>
      <x:c r="C85" s="3" t="s">
        <x:v>231</x:v>
      </x:c>
      <x:c r="D85" s="163">
        <x:v>21000</x:v>
      </x:c>
      <x:c r="E85" s="4">
        <x:f>+D85*0.1</x:f>
        <x:v>2100</x:v>
      </x:c>
      <x:c r="F85" s="5">
        <x:f t="shared" si="17"/>
        <x:v>23100</x:v>
      </x:c>
      <x:c r="G85" s="6"/>
      <x:c r="H85" s="299"/>
      <x:c r="I85" s="3"/>
      <x:c r="J85" s="3"/>
      <x:c r="K85" s="163"/>
      <x:c r="L85" s="4"/>
      <x:c r="M85" s="5">
        <x:f t="shared" si="18"/>
        <x:v>0</x:v>
      </x:c>
      <x:c r="N85" s="6"/>
    </x:row>
    <x:row r="86" spans="1:14" s="2" customFormat="1" ht="20.100000000000001" customHeight="1">
      <x:c r="A86" s="299"/>
      <x:c r="B86" s="3" t="s">
        <x:v>1442</x:v>
      </x:c>
      <x:c r="C86" s="3" t="s">
        <x:v>167</x:v>
      </x:c>
      <x:c r="D86" s="163">
        <x:v>15000</x:v>
      </x:c>
      <x:c r="E86" s="4">
        <x:f t="shared" si="19"/>
        <x:v>1500</x:v>
      </x:c>
      <x:c r="F86" s="5">
        <x:f t="shared" si="17"/>
        <x:v>16500</x:v>
      </x:c>
      <x:c r="G86" s="6"/>
      <x:c r="H86" s="299"/>
      <x:c r="I86" s="3"/>
      <x:c r="J86" s="3"/>
      <x:c r="K86" s="163"/>
      <x:c r="L86" s="4">
        <x:f>+K86*0.1</x:f>
        <x:v>0</x:v>
      </x:c>
      <x:c r="M86" s="5">
        <x:f t="shared" si="18"/>
        <x:v>0</x:v>
      </x:c>
      <x:c r="N86" s="6"/>
    </x:row>
    <x:row r="87" spans="1:14" s="2" customFormat="1" ht="20.100000000000001" customHeight="1">
      <x:c r="A87" s="299"/>
      <x:c r="B87" s="129" t="s">
        <x:v>1555</x:v>
      </x:c>
      <x:c r="C87" s="129" t="s">
        <x:v>1598</x:v>
      </x:c>
      <x:c r="D87" s="227"/>
      <x:c r="E87" s="130">
        <x:f t="shared" si="19"/>
        <x:v>0</x:v>
      </x:c>
      <x:c r="F87" s="131">
        <x:f t="shared" si="17"/>
        <x:v>0</x:v>
      </x:c>
      <x:c r="G87" s="132"/>
      <x:c r="H87" s="299"/>
      <x:c r="I87" s="3"/>
      <x:c r="J87" s="3"/>
      <x:c r="K87" s="163"/>
      <x:c r="L87" s="4">
        <x:f>+K87*0.1</x:f>
        <x:v>0</x:v>
      </x:c>
      <x:c r="M87" s="5">
        <x:f t="shared" si="18"/>
        <x:v>0</x:v>
      </x:c>
      <x:c r="N87" s="6"/>
    </x:row>
    <x:row r="88" spans="1:14" s="2" customFormat="1" ht="20.100000000000001" customHeight="1">
      <x:c r="A88" s="299"/>
      <x:c r="B88" s="129" t="s">
        <x:v>1582</x:v>
      </x:c>
      <x:c r="C88" s="129" t="s">
        <x:v>290</x:v>
      </x:c>
      <x:c r="D88" s="130">
        <x:v>808500</x:v>
      </x:c>
      <x:c r="E88" s="130">
        <x:f t="shared" si="19"/>
        <x:v>80850</x:v>
      </x:c>
      <x:c r="F88" s="131">
        <x:f t="shared" si="17"/>
        <x:v>889350</x:v>
      </x:c>
      <x:c r="G88" s="132"/>
      <x:c r="H88" s="299"/>
      <x:c r="I88" s="3"/>
      <x:c r="J88" s="3"/>
      <x:c r="K88" s="163"/>
      <x:c r="L88" s="4">
        <x:f>+K88*0.1</x:f>
        <x:v>0</x:v>
      </x:c>
      <x:c r="M88" s="5">
        <x:f t="shared" si="18"/>
        <x:v>0</x:v>
      </x:c>
      <x:c r="N88" s="6"/>
    </x:row>
    <x:row r="89" spans="1:14" s="2" customFormat="1" ht="20.100000000000001" customHeight="1">
      <x:c r="A89" s="299"/>
      <x:c r="B89" s="3" t="s">
        <x:v>1654</x:v>
      </x:c>
      <x:c r="C89" s="3" t="s">
        <x:v>451</x:v>
      </x:c>
      <x:c r="D89" s="4">
        <x:v>367870</x:v>
      </x:c>
      <x:c r="E89" s="4"/>
      <x:c r="F89" s="5">
        <x:f>+D89+E89</x:f>
        <x:v>367870</x:v>
      </x:c>
      <x:c r="G89" s="6"/>
      <x:c r="H89" s="299"/>
      <x:c r="I89" s="3"/>
      <x:c r="J89" s="3"/>
      <x:c r="K89" s="163"/>
      <x:c r="L89" s="4">
        <x:f>+K89*0.1</x:f>
        <x:v>0</x:v>
      </x:c>
      <x:c r="M89" s="5">
        <x:f t="shared" si="18"/>
        <x:v>0</x:v>
      </x:c>
      <x:c r="N89" s="6"/>
    </x:row>
    <x:row r="90" spans="1:14" s="2" customFormat="1" ht="20.100000000000001" customHeight="1">
      <x:c r="A90" s="299"/>
      <x:c r="B90" s="3"/>
      <x:c r="C90" s="3"/>
      <x:c r="D90" s="4"/>
      <x:c r="E90" s="4"/>
      <x:c r="F90" s="5">
        <x:f>+D90+E90</x:f>
        <x:v>0</x:v>
      </x:c>
      <x:c r="G90" s="6"/>
      <x:c r="H90" s="299"/>
      <x:c r="I90" s="3"/>
      <x:c r="J90" s="3"/>
      <x:c r="K90" s="163"/>
      <x:c r="L90" s="4"/>
      <x:c r="M90" s="5">
        <x:f t="shared" si="18"/>
        <x:v>0</x:v>
      </x:c>
      <x:c r="N90" s="6"/>
    </x:row>
    <x:row r="91" spans="1:14" s="2" customFormat="1" ht="20.100000000000001" customHeight="1">
      <x:c r="A91" s="299"/>
      <x:c r="B91" s="3"/>
      <x:c r="C91" s="3"/>
      <x:c r="D91" s="4"/>
      <x:c r="E91" s="4"/>
      <x:c r="F91" s="5">
        <x:f>+D91+E91</x:f>
        <x:v>0</x:v>
      </x:c>
      <x:c r="G91" s="6"/>
      <x:c r="H91" s="299"/>
      <x:c r="I91" s="3"/>
      <x:c r="J91" s="3"/>
      <x:c r="K91" s="163"/>
      <x:c r="L91" s="4"/>
      <x:c r="M91" s="5">
        <x:f t="shared" si="18"/>
        <x:v>0</x:v>
      </x:c>
      <x:c r="N91" s="6"/>
    </x:row>
    <x:row r="92" spans="1:14" s="2" customFormat="1" ht="20.100000000000001" customHeight="1">
      <x:c r="A92" s="299"/>
      <x:c r="B92" s="3"/>
      <x:c r="C92" s="3"/>
      <x:c r="D92" s="4"/>
      <x:c r="E92" s="4"/>
      <x:c r="F92" s="5">
        <x:f>+D92+E92</x:f>
        <x:v>0</x:v>
      </x:c>
      <x:c r="G92" s="6"/>
      <x:c r="H92" s="299"/>
      <x:c r="I92" s="3"/>
      <x:c r="J92" s="3"/>
      <x:c r="K92" s="163"/>
      <x:c r="L92" s="4">
        <x:f>+K92*0.1</x:f>
        <x:v>0</x:v>
      </x:c>
      <x:c r="M92" s="5">
        <x:f t="shared" si="18"/>
        <x:v>0</x:v>
      </x:c>
      <x:c r="N92" s="6"/>
    </x:row>
    <x:row r="93" spans="1:14" s="2" customFormat="1" ht="20.100000000000001" customHeight="1">
      <x:c r="A93" s="299"/>
      <x:c r="B93" s="3"/>
      <x:c r="C93" s="3"/>
      <x:c r="D93" s="4"/>
      <x:c r="E93" s="4"/>
      <x:c r="F93" s="5">
        <x:f>+D93+E93</x:f>
        <x:v>0</x:v>
      </x:c>
      <x:c r="G93" s="6"/>
      <x:c r="H93" s="299"/>
      <x:c r="I93" s="3"/>
      <x:c r="J93" s="3"/>
      <x:c r="K93" s="163"/>
      <x:c r="L93" s="4"/>
      <x:c r="M93" s="5">
        <x:f t="shared" si="18"/>
        <x:v>0</x:v>
      </x:c>
      <x:c r="N93" s="6"/>
    </x:row>
    <x:row r="94" spans="1:14" s="2" customFormat="1" ht="20.100000000000001" customHeight="1">
      <x:c r="A94" s="7" t="s">
        <x:v>155</x:v>
      </x:c>
      <x:c r="B94" s="8"/>
      <x:c r="C94" s="8"/>
      <x:c r="D94" s="9">
        <x:f>SUM(D81:D93)</x:f>
        <x:v>4081080</x:v>
      </x:c>
      <x:c r="E94" s="9">
        <x:f>SUM(E81:E93)</x:f>
        <x:v>94450</x:v>
      </x:c>
      <x:c r="F94" s="10">
        <x:f>SUM(F81:F93)</x:f>
        <x:v>4175530</x:v>
      </x:c>
      <x:c r="G94" s="11"/>
      <x:c r="H94" s="7" t="s">
        <x:v>155</x:v>
      </x:c>
      <x:c r="I94" s="8"/>
      <x:c r="J94" s="8"/>
      <x:c r="K94" s="9">
        <x:f>SUM(K81:K93)</x:f>
        <x:v>2000</x:v>
      </x:c>
      <x:c r="L94" s="9">
        <x:f>SUM(L81:L93)</x:f>
        <x:v>200</x:v>
      </x:c>
      <x:c r="M94" s="10">
        <x:f>SUM(M81:M93)</x:f>
        <x:v>2200</x:v>
      </x:c>
      <x:c r="N94" s="11"/>
    </x:row>
    <x:row r="95" spans="1:14" s="2" customFormat="1" ht="20.100000000000001" customHeight="1">
      <x:c r="A95" s="12" t="s">
        <x:v>1690</x:v>
      </x:c>
      <x:c r="B95" s="13"/>
      <x:c r="C95" s="13"/>
      <x:c r="D95" s="14">
        <x:f>+D68+D73+D80+D94</x:f>
        <x:v>47614012</x:v>
      </x:c>
      <x:c r="E95" s="14">
        <x:f>+E68+E73+E80+E94</x:f>
        <x:v>2424743.2000000002</x:v>
      </x:c>
      <x:c r="F95" s="15">
        <x:f>+F68+F73+F80+F94</x:f>
        <x:v>50038755.200000003</x:v>
      </x:c>
      <x:c r="G95" s="16"/>
      <x:c r="H95" s="12" t="s">
        <x:v>1690</x:v>
      </x:c>
      <x:c r="I95" s="13"/>
      <x:c r="J95" s="13"/>
      <x:c r="K95" s="14">
        <x:f>+K68+K73+K80+K94</x:f>
        <x:v>852000</x:v>
      </x:c>
      <x:c r="L95" s="14">
        <x:f>+L68+L73+L80+L94</x:f>
        <x:v>85200</x:v>
      </x:c>
      <x:c r="M95" s="15">
        <x:f>+M68+M73+M80+M94</x:f>
        <x:v>937200</x:v>
      </x:c>
      <x:c r="N95" s="16"/>
    </x:row>
    <x:row r="96" spans="1:14" s="2" customFormat="1" ht="20.100000000000001" customHeight="1">
      <x:c r="A96" s="23" t="s">
        <x:v>35</x:v>
      </x:c>
      <x:c r="B96" s="24"/>
      <x:c r="C96" s="24"/>
      <x:c r="D96" s="25">
        <x:f>+D50-D95</x:f>
        <x:v>72385988</x:v>
      </x:c>
      <x:c r="E96" s="25">
        <x:f>+E50-E95</x:f>
        <x:v>9575256.8000000007</x:v>
      </x:c>
      <x:c r="F96" s="26">
        <x:f>+F50-F95</x:f>
        <x:v>81961244.799999997</x:v>
      </x:c>
      <x:c r="G96" s="27"/>
      <x:c r="H96" s="23" t="s">
        <x:v>35</x:v>
      </x:c>
      <x:c r="I96" s="24"/>
      <x:c r="J96" s="24"/>
      <x:c r="K96" s="25">
        <x:f>+K50-K95</x:f>
        <x:v>-852000</x:v>
      </x:c>
      <x:c r="L96" s="25">
        <x:f>+L50-L95</x:f>
        <x:v>-85200</x:v>
      </x:c>
      <x:c r="M96" s="26">
        <x:f>+M50-M95</x:f>
        <x:v>-937200</x:v>
      </x:c>
      <x:c r="N96" s="27"/>
    </x:row>
    <x:row r="97" spans="1:14" s="2" customFormat="1" ht="20.100000000000001" customHeight="1">
      <x:c r="A97" s="302" t="s">
        <x:v>423</x:v>
      </x:c>
      <x:c r="B97" s="303"/>
      <x:c r="C97" s="303"/>
      <x:c r="D97" s="303"/>
      <x:c r="E97" s="303"/>
      <x:c r="F97" s="304"/>
      <x:c r="G97" s="305"/>
      <x:c r="H97" s="302" t="s">
        <x:v>494</x:v>
      </x:c>
      <x:c r="I97" s="303"/>
      <x:c r="J97" s="303"/>
      <x:c r="K97" s="303"/>
      <x:c r="L97" s="303"/>
      <x:c r="M97" s="304"/>
      <x:c r="N97" s="305"/>
    </x:row>
    <x:row r="98" spans="1:14" s="2" customFormat="1" ht="20.100000000000001" customHeight="1">
      <x:c r="A98" s="29" t="s">
        <x:v>147</x:v>
      </x:c>
      <x:c r="B98" s="283" t="s">
        <x:v>144</x:v>
      </x:c>
      <x:c r="C98" s="283" t="s">
        <x:v>150</x:v>
      </x:c>
      <x:c r="D98" s="31" t="s">
        <x:v>145</x:v>
      </x:c>
      <x:c r="E98" s="31" t="s">
        <x:v>152</x:v>
      </x:c>
      <x:c r="F98" s="32" t="s">
        <x:v>146</x:v>
      </x:c>
      <x:c r="G98" s="33" t="s">
        <x:v>154</x:v>
      </x:c>
      <x:c r="H98" s="29" t="s">
        <x:v>147</x:v>
      </x:c>
      <x:c r="I98" s="283" t="s">
        <x:v>144</x:v>
      </x:c>
      <x:c r="J98" s="283" t="s">
        <x:v>150</x:v>
      </x:c>
      <x:c r="K98" s="31" t="s">
        <x:v>145</x:v>
      </x:c>
      <x:c r="L98" s="31" t="s">
        <x:v>152</x:v>
      </x:c>
      <x:c r="M98" s="31" t="s">
        <x:v>146</x:v>
      </x:c>
      <x:c r="N98" s="34" t="s">
        <x:v>154</x:v>
      </x:c>
    </x:row>
    <x:row r="99" spans="1:14" s="2" customFormat="1" ht="20.100000000000001" customHeight="1">
      <x:c r="A99" s="282" t="s">
        <x:v>151</x:v>
      </x:c>
      <x:c r="B99" s="38" t="s">
        <x:v>1679</x:v>
      </x:c>
      <x:c r="C99" s="38" t="s">
        <x:v>156</x:v>
      </x:c>
      <x:c r="D99" s="39"/>
      <x:c r="E99" s="39"/>
      <x:c r="F99" s="40">
        <x:f t="shared" ref="F99:F114" si="20">+D99+E99</x:f>
        <x:v>0</x:v>
      </x:c>
      <x:c r="G99" s="18"/>
      <x:c r="H99" s="41" t="s">
        <x:v>151</x:v>
      </x:c>
      <x:c r="I99" s="38" t="s">
        <x:v>1679</x:v>
      </x:c>
      <x:c r="J99" s="149" t="s">
        <x:v>1030</x:v>
      </x:c>
      <x:c r="K99" s="39"/>
      <x:c r="L99" s="39"/>
      <x:c r="M99" s="40">
        <x:f>+K99+L99</x:f>
        <x:v>0</x:v>
      </x:c>
      <x:c r="N99" s="42" t="s">
        <x:v>1624</x:v>
      </x:c>
    </x:row>
    <x:row r="100" spans="1:14" s="2" customFormat="1" ht="20.100000000000001" customHeight="1">
      <x:c r="A100" s="298" t="s">
        <x:v>148</x:v>
      </x:c>
      <x:c r="B100" s="54" t="s">
        <x:v>1329</x:v>
      </x:c>
      <x:c r="C100" s="54" t="s">
        <x:v>1112</x:v>
      </x:c>
      <x:c r="D100" s="93"/>
      <x:c r="E100" s="93">
        <x:f>+D100*0.1</x:f>
        <x:v>0</x:v>
      </x:c>
      <x:c r="F100" s="94">
        <x:f t="shared" si="20"/>
        <x:v>0</x:v>
      </x:c>
      <x:c r="G100" s="95" t="s">
        <x:v>273</x:v>
      </x:c>
      <x:c r="H100" s="298" t="s">
        <x:v>148</x:v>
      </x:c>
      <x:c r="I100" s="19" t="s">
        <x:v>867</x:v>
      </x:c>
      <x:c r="J100" s="267" t="s">
        <x:v>463</x:v>
      </x:c>
      <x:c r="K100" s="20">
        <x:v>6637000</x:v>
      </x:c>
      <x:c r="L100" s="20">
        <x:f>+K100*0.1</x:f>
        <x:v>663700</x:v>
      </x:c>
      <x:c r="M100" s="21">
        <x:f t="shared" ref="M100:M115" si="21">+K100+L100</x:f>
        <x:v>7300700</x:v>
      </x:c>
      <x:c r="N100" s="22"/>
    </x:row>
    <x:row r="101" spans="1:14" s="2" customFormat="1" ht="20.100000000000001" customHeight="1">
      <x:c r="A101" s="299"/>
      <x:c r="B101" s="162" t="s">
        <x:v>1358</x:v>
      </x:c>
      <x:c r="C101" s="162"/>
      <x:c r="D101" s="163"/>
      <x:c r="E101" s="4"/>
      <x:c r="F101" s="193">
        <x:f t="shared" si="20"/>
        <x:v>0</x:v>
      </x:c>
      <x:c r="G101" s="180" t="s">
        <x:v>258</x:v>
      </x:c>
      <x:c r="H101" s="299"/>
      <x:c r="I101" s="3" t="s">
        <x:v>1348</x:v>
      </x:c>
      <x:c r="J101" s="129" t="s">
        <x:v>129</x:v>
      </x:c>
      <x:c r="K101" s="4">
        <x:v>300000</x:v>
      </x:c>
      <x:c r="L101" s="4">
        <x:f>+INT(K101*0.1)</x:f>
        <x:v>30000</x:v>
      </x:c>
      <x:c r="M101" s="5">
        <x:f t="shared" si="21"/>
        <x:v>330000</x:v>
      </x:c>
      <x:c r="N101" s="6"/>
    </x:row>
    <x:row r="102" spans="1:14" s="2" customFormat="1" ht="20.100000000000001" customHeight="1">
      <x:c r="A102" s="299"/>
      <x:c r="B102" s="3" t="s">
        <x:v>1362</x:v>
      </x:c>
      <x:c r="C102" s="3"/>
      <x:c r="D102" s="4"/>
      <x:c r="E102" s="4"/>
      <x:c r="F102" s="194">
        <x:f t="shared" si="20"/>
        <x:v>0</x:v>
      </x:c>
      <x:c r="G102" s="180" t="s">
        <x:v>258</x:v>
      </x:c>
      <x:c r="H102" s="299"/>
      <x:c r="I102" s="3" t="s">
        <x:v>838</x:v>
      </x:c>
      <x:c r="J102" s="129" t="s">
        <x:v>1670</x:v>
      </x:c>
      <x:c r="K102" s="4">
        <x:v>3546850</x:v>
      </x:c>
      <x:c r="L102" s="209">
        <x:f>+K102*0.1</x:f>
        <x:v>354685</x:v>
      </x:c>
      <x:c r="M102" s="5">
        <x:f t="shared" si="21"/>
        <x:v>3901535</x:v>
      </x:c>
      <x:c r="N102" s="6"/>
    </x:row>
    <x:row r="103" spans="1:14" s="2" customFormat="1" ht="20.100000000000001" customHeight="1">
      <x:c r="A103" s="299"/>
      <x:c r="B103" s="3" t="s">
        <x:v>1363</x:v>
      </x:c>
      <x:c r="C103" s="3"/>
      <x:c r="D103" s="4"/>
      <x:c r="E103" s="4"/>
      <x:c r="F103" s="194">
        <x:f t="shared" si="20"/>
        <x:v>0</x:v>
      </x:c>
      <x:c r="G103" s="180" t="s">
        <x:v>258</x:v>
      </x:c>
      <x:c r="H103" s="299"/>
      <x:c r="I103" s="3" t="s">
        <x:v>938</x:v>
      </x:c>
      <x:c r="J103" s="129" t="s">
        <x:v>935</x:v>
      </x:c>
      <x:c r="K103" s="4"/>
      <x:c r="L103" s="4">
        <x:f>+K103*0.1</x:f>
        <x:v>0</x:v>
      </x:c>
      <x:c r="M103" s="5">
        <x:f t="shared" si="21"/>
        <x:v>0</x:v>
      </x:c>
      <x:c r="N103" s="6"/>
    </x:row>
    <x:row r="104" spans="1:14" s="2" customFormat="1" ht="20.100000000000001" customHeight="1">
      <x:c r="A104" s="299"/>
      <x:c r="B104" s="3" t="s">
        <x:v>1372</x:v>
      </x:c>
      <x:c r="C104" s="3"/>
      <x:c r="D104" s="4"/>
      <x:c r="E104" s="4"/>
      <x:c r="F104" s="194">
        <x:f t="shared" si="20"/>
        <x:v>0</x:v>
      </x:c>
      <x:c r="G104" s="180" t="s">
        <x:v>258</x:v>
      </x:c>
      <x:c r="H104" s="299"/>
      <x:c r="I104" s="3" t="s">
        <x:v>976</x:v>
      </x:c>
      <x:c r="J104" s="129" t="s">
        <x:v>694</x:v>
      </x:c>
      <x:c r="K104" s="44"/>
      <x:c r="L104" s="44">
        <x:f>+K104*0.1</x:f>
        <x:v>0</x:v>
      </x:c>
      <x:c r="M104" s="45">
        <x:f t="shared" si="21"/>
        <x:v>0</x:v>
      </x:c>
      <x:c r="N104" s="179"/>
    </x:row>
    <x:row r="105" spans="1:14" s="2" customFormat="1" ht="20.100000000000001" customHeight="1">
      <x:c r="A105" s="299"/>
      <x:c r="B105" s="3" t="s">
        <x:v>1380</x:v>
      </x:c>
      <x:c r="C105" s="3"/>
      <x:c r="D105" s="4"/>
      <x:c r="E105" s="4">
        <x:f>+INT(D105*0.1)</x:f>
        <x:v>0</x:v>
      </x:c>
      <x:c r="F105" s="194">
        <x:f t="shared" si="20"/>
        <x:v>0</x:v>
      </x:c>
      <x:c r="G105" s="180" t="s">
        <x:v>258</x:v>
      </x:c>
      <x:c r="H105" s="299"/>
      <x:c r="I105" s="3" t="s">
        <x:v>846</x:v>
      </x:c>
      <x:c r="J105" s="129" t="s">
        <x:v>1249</x:v>
      </x:c>
      <x:c r="K105" s="4">
        <x:v>971500</x:v>
      </x:c>
      <x:c r="L105" s="4">
        <x:f>+K105*0.1</x:f>
        <x:v>97150</x:v>
      </x:c>
      <x:c r="M105" s="5">
        <x:f t="shared" si="21"/>
        <x:v>1068650</x:v>
      </x:c>
      <x:c r="N105" s="6"/>
    </x:row>
    <x:row r="106" spans="1:14" s="2" customFormat="1" ht="20.100000000000001" customHeight="1">
      <x:c r="A106" s="299"/>
      <x:c r="B106" s="3" t="s">
        <x:v>938</x:v>
      </x:c>
      <x:c r="C106" s="3"/>
      <x:c r="D106" s="4"/>
      <x:c r="E106" s="4"/>
      <x:c r="F106" s="194">
        <x:f t="shared" si="20"/>
        <x:v>0</x:v>
      </x:c>
      <x:c r="G106" s="6" t="s">
        <x:v>273</x:v>
      </x:c>
      <x:c r="H106" s="299"/>
      <x:c r="I106" s="3" t="s">
        <x:v>1378</x:v>
      </x:c>
      <x:c r="J106" s="129" t="s">
        <x:v>1660</x:v>
      </x:c>
      <x:c r="K106" s="4">
        <x:v>396860</x:v>
      </x:c>
      <x:c r="L106" s="4">
        <x:f>+K106*0.1</x:f>
        <x:v>39686</x:v>
      </x:c>
      <x:c r="M106" s="5">
        <x:f t="shared" si="21"/>
        <x:v>436546</x:v>
      </x:c>
      <x:c r="N106" s="6"/>
    </x:row>
    <x:row r="107" spans="1:14" s="2" customFormat="1" ht="20.100000000000001" customHeight="1">
      <x:c r="A107" s="299"/>
      <x:c r="B107" s="3" t="s">
        <x:v>1418</x:v>
      </x:c>
      <x:c r="C107" s="3"/>
      <x:c r="D107" s="4"/>
      <x:c r="E107" s="4"/>
      <x:c r="F107" s="194">
        <x:f t="shared" si="20"/>
        <x:v>0</x:v>
      </x:c>
      <x:c r="G107" s="180" t="s">
        <x:v>258</x:v>
      </x:c>
      <x:c r="H107" s="299"/>
      <x:c r="I107" s="3" t="s">
        <x:v>1449</x:v>
      </x:c>
      <x:c r="J107" s="129"/>
      <x:c r="K107" s="4"/>
      <x:c r="L107" s="4">
        <x:f>+K107*0.1</x:f>
        <x:v>0</x:v>
      </x:c>
      <x:c r="M107" s="5">
        <x:f t="shared" si="21"/>
        <x:v>0</x:v>
      </x:c>
      <x:c r="N107" s="6"/>
    </x:row>
    <x:row r="108" spans="1:14" s="2" customFormat="1" ht="20.100000000000001" customHeight="1">
      <x:c r="A108" s="299"/>
      <x:c r="B108" s="3" t="s">
        <x:v>1406</x:v>
      </x:c>
      <x:c r="C108" s="3"/>
      <x:c r="D108" s="4"/>
      <x:c r="E108" s="4"/>
      <x:c r="F108" s="194">
        <x:f t="shared" si="20"/>
        <x:v>0</x:v>
      </x:c>
      <x:c r="G108" s="180" t="s">
        <x:v>258</x:v>
      </x:c>
      <x:c r="H108" s="299"/>
      <x:c r="I108" s="3"/>
      <x:c r="J108" s="3"/>
      <x:c r="K108" s="4"/>
      <x:c r="L108" s="4"/>
      <x:c r="M108" s="5"/>
      <x:c r="N108" s="6"/>
    </x:row>
    <x:row r="109" spans="1:14" s="2" customFormat="1" ht="20.100000000000001" customHeight="1">
      <x:c r="A109" s="299"/>
      <x:c r="B109" s="3" t="s">
        <x:v>276</x:v>
      </x:c>
      <x:c r="C109" s="3"/>
      <x:c r="D109" s="4"/>
      <x:c r="E109" s="4"/>
      <x:c r="F109" s="194">
        <x:f t="shared" si="20"/>
        <x:v>0</x:v>
      </x:c>
      <x:c r="G109" s="180" t="s">
        <x:v>258</x:v>
      </x:c>
      <x:c r="H109" s="299"/>
      <x:c r="I109" s="3"/>
      <x:c r="J109" s="3"/>
      <x:c r="K109" s="4"/>
      <x:c r="L109" s="4"/>
      <x:c r="M109" s="5">
        <x:f t="shared" si="21"/>
        <x:v>0</x:v>
      </x:c>
      <x:c r="N109" s="6"/>
    </x:row>
    <x:row r="110" spans="1:14" s="2" customFormat="1" ht="20.100000000000001" customHeight="1">
      <x:c r="A110" s="299"/>
      <x:c r="B110" s="3" t="s">
        <x:v>1400</x:v>
      </x:c>
      <x:c r="C110" s="3"/>
      <x:c r="D110" s="4"/>
      <x:c r="E110" s="4"/>
      <x:c r="F110" s="194">
        <x:f t="shared" si="20"/>
        <x:v>0</x:v>
      </x:c>
      <x:c r="G110" s="6" t="s">
        <x:v>273</x:v>
      </x:c>
      <x:c r="H110" s="299"/>
      <x:c r="I110" s="3"/>
      <x:c r="J110" s="3"/>
      <x:c r="K110" s="4"/>
      <x:c r="L110" s="4"/>
      <x:c r="M110" s="5">
        <x:f t="shared" si="21"/>
        <x:v>0</x:v>
      </x:c>
      <x:c r="N110" s="6"/>
    </x:row>
    <x:row r="111" spans="1:14" s="2" customFormat="1" ht="20.100000000000001" customHeight="1">
      <x:c r="A111" s="299"/>
      <x:c r="B111" s="3" t="s">
        <x:v>1448</x:v>
      </x:c>
      <x:c r="C111" s="3"/>
      <x:c r="D111" s="4"/>
      <x:c r="E111" s="4">
        <x:f>+D111*0.1</x:f>
        <x:v>0</x:v>
      </x:c>
      <x:c r="F111" s="5">
        <x:f t="shared" si="20"/>
        <x:v>0</x:v>
      </x:c>
      <x:c r="G111" s="6" t="s">
        <x:v>273</x:v>
      </x:c>
      <x:c r="H111" s="299"/>
      <x:c r="I111" s="3"/>
      <x:c r="J111" s="3"/>
      <x:c r="K111" s="4"/>
      <x:c r="L111" s="4"/>
      <x:c r="M111" s="5">
        <x:f t="shared" si="21"/>
        <x:v>0</x:v>
      </x:c>
      <x:c r="N111" s="6"/>
    </x:row>
    <x:row r="112" spans="1:14" s="2" customFormat="1" ht="20.100000000000001" customHeight="1">
      <x:c r="A112" s="299"/>
      <x:c r="B112" s="3"/>
      <x:c r="C112" s="3"/>
      <x:c r="D112" s="4"/>
      <x:c r="E112" s="4"/>
      <x:c r="F112" s="5">
        <x:f t="shared" si="20"/>
        <x:v>0</x:v>
      </x:c>
      <x:c r="G112" s="6"/>
      <x:c r="H112" s="299"/>
      <x:c r="I112" s="3"/>
      <x:c r="J112" s="3"/>
      <x:c r="K112" s="4"/>
      <x:c r="L112" s="4"/>
      <x:c r="M112" s="5">
        <x:f t="shared" si="21"/>
        <x:v>0</x:v>
      </x:c>
      <x:c r="N112" s="6"/>
    </x:row>
    <x:row r="113" spans="1:14" s="2" customFormat="1" ht="20.100000000000001" customHeight="1">
      <x:c r="A113" s="299"/>
      <x:c r="B113" s="3"/>
      <x:c r="C113" s="3"/>
      <x:c r="D113" s="4"/>
      <x:c r="E113" s="4"/>
      <x:c r="F113" s="5"/>
      <x:c r="G113" s="6"/>
      <x:c r="H113" s="299"/>
      <x:c r="I113" s="3"/>
      <x:c r="J113" s="3"/>
      <x:c r="K113" s="4"/>
      <x:c r="L113" s="4"/>
      <x:c r="M113" s="5">
        <x:f t="shared" si="21"/>
        <x:v>0</x:v>
      </x:c>
      <x:c r="N113" s="6"/>
    </x:row>
    <x:row r="114" spans="1:14" s="2" customFormat="1" ht="20.100000000000001" customHeight="1">
      <x:c r="A114" s="299"/>
      <x:c r="B114" s="3"/>
      <x:c r="C114" s="3"/>
      <x:c r="D114" s="4"/>
      <x:c r="E114" s="4"/>
      <x:c r="F114" s="5">
        <x:f t="shared" si="20"/>
        <x:v>0</x:v>
      </x:c>
      <x:c r="G114" s="6"/>
      <x:c r="H114" s="299"/>
      <x:c r="I114" s="3"/>
      <x:c r="J114" s="3"/>
      <x:c r="K114" s="4"/>
      <x:c r="L114" s="4"/>
      <x:c r="M114" s="5">
        <x:f t="shared" si="21"/>
        <x:v>0</x:v>
      </x:c>
      <x:c r="N114" s="6"/>
    </x:row>
    <x:row r="115" spans="1:14" s="2" customFormat="1" ht="20.100000000000001" customHeight="1">
      <x:c r="A115" s="300"/>
      <x:c r="B115" s="3"/>
      <x:c r="C115" s="3"/>
      <x:c r="D115" s="4"/>
      <x:c r="E115" s="4"/>
      <x:c r="F115" s="5"/>
      <x:c r="G115" s="6"/>
      <x:c r="H115" s="300"/>
      <x:c r="I115" s="3"/>
      <x:c r="J115" s="3"/>
      <x:c r="K115" s="4"/>
      <x:c r="L115" s="4"/>
      <x:c r="M115" s="5">
        <x:f t="shared" si="21"/>
        <x:v>0</x:v>
      </x:c>
      <x:c r="N115" s="6"/>
    </x:row>
    <x:row r="116" spans="1:14" s="2" customFormat="1" ht="20.100000000000001" customHeight="1">
      <x:c r="A116" s="7" t="s">
        <x:v>155</x:v>
      </x:c>
      <x:c r="B116" s="8"/>
      <x:c r="C116" s="8"/>
      <x:c r="D116" s="9">
        <x:f>SUM(D100:D115)</x:f>
        <x:v>0</x:v>
      </x:c>
      <x:c r="E116" s="9">
        <x:f>SUM(E100:E115)</x:f>
        <x:v>0</x:v>
      </x:c>
      <x:c r="F116" s="10">
        <x:f>SUM(F100:F115)</x:f>
        <x:v>0</x:v>
      </x:c>
      <x:c r="G116" s="11"/>
      <x:c r="H116" s="7" t="s">
        <x:v>155</x:v>
      </x:c>
      <x:c r="I116" s="8"/>
      <x:c r="J116" s="8"/>
      <x:c r="K116" s="9">
        <x:f>SUM(K100:K115)</x:f>
        <x:v>11852210</x:v>
      </x:c>
      <x:c r="L116" s="279">
        <x:f>SUM(L100:L115)</x:f>
        <x:v>1185221</x:v>
      </x:c>
      <x:c r="M116" s="10">
        <x:f>SUM(M100:M115)</x:f>
        <x:v>13037431</x:v>
      </x:c>
      <x:c r="N116" s="11"/>
    </x:row>
    <x:row r="117" spans="1:14" s="2" customFormat="1" ht="20.100000000000001" customHeight="1">
      <x:c r="A117" s="301" t="s">
        <x:v>153</x:v>
      </x:c>
      <x:c r="B117" s="3" t="s">
        <x:v>1241</x:v>
      </x:c>
      <x:c r="C117" s="3" t="s">
        <x:v>1594</x:v>
      </x:c>
      <x:c r="D117" s="44"/>
      <x:c r="E117" s="44"/>
      <x:c r="F117" s="45">
        <x:f>+D117+E117</x:f>
        <x:v>0</x:v>
      </x:c>
      <x:c r="G117" s="180" t="s">
        <x:v>258</x:v>
      </x:c>
      <x:c r="H117" s="301" t="s">
        <x:v>153</x:v>
      </x:c>
      <x:c r="I117" s="3" t="s">
        <x:v>1677</x:v>
      </x:c>
      <x:c r="J117" s="3" t="s">
        <x:v>1083</x:v>
      </x:c>
      <x:c r="K117" s="4">
        <x:v>29340000</x:v>
      </x:c>
      <x:c r="L117" s="4"/>
      <x:c r="M117" s="5">
        <x:f>+K117+L117</x:f>
        <x:v>29340000</x:v>
      </x:c>
      <x:c r="N117" s="6"/>
    </x:row>
    <x:row r="118" spans="1:14" s="2" customFormat="1" ht="20.100000000000001" customHeight="1">
      <x:c r="A118" s="299"/>
      <x:c r="B118" s="3"/>
      <x:c r="C118" s="3"/>
      <x:c r="D118" s="44"/>
      <x:c r="E118" s="44">
        <x:f>+D118*0.1</x:f>
        <x:v>0</x:v>
      </x:c>
      <x:c r="F118" s="45">
        <x:f>+D118+E118</x:f>
        <x:v>0</x:v>
      </x:c>
      <x:c r="G118" s="37"/>
      <x:c r="H118" s="299"/>
      <x:c r="I118" s="3"/>
      <x:c r="J118" s="3"/>
      <x:c r="K118" s="4"/>
      <x:c r="L118" s="4"/>
      <x:c r="M118" s="5">
        <x:f>+K118+L118</x:f>
        <x:v>0</x:v>
      </x:c>
      <x:c r="N118" s="6"/>
    </x:row>
    <x:row r="119" spans="1:14" s="2" customFormat="1" ht="20.100000000000001" customHeight="1">
      <x:c r="A119" s="299"/>
      <x:c r="B119" s="3"/>
      <x:c r="C119" s="3"/>
      <x:c r="D119" s="4"/>
      <x:c r="E119" s="4">
        <x:f>+D119*0.1</x:f>
        <x:v>0</x:v>
      </x:c>
      <x:c r="F119" s="5">
        <x:f>+D119+E119</x:f>
        <x:v>0</x:v>
      </x:c>
      <x:c r="G119" s="6"/>
      <x:c r="H119" s="299"/>
      <x:c r="I119" s="3"/>
      <x:c r="J119" s="3"/>
      <x:c r="K119" s="4"/>
      <x:c r="L119" s="4"/>
      <x:c r="M119" s="5">
        <x:f>+K119+L119</x:f>
        <x:v>0</x:v>
      </x:c>
      <x:c r="N119" s="6"/>
    </x:row>
    <x:row r="120" spans="1:14" s="2" customFormat="1" ht="20.100000000000001" customHeight="1">
      <x:c r="A120" s="300"/>
      <x:c r="B120" s="3"/>
      <x:c r="C120" s="3"/>
      <x:c r="D120" s="4"/>
      <x:c r="E120" s="4">
        <x:f>+D120*0.1</x:f>
        <x:v>0</x:v>
      </x:c>
      <x:c r="F120" s="5">
        <x:f>+D120+E120</x:f>
        <x:v>0</x:v>
      </x:c>
      <x:c r="G120" s="6"/>
      <x:c r="H120" s="300"/>
      <x:c r="I120" s="3"/>
      <x:c r="J120" s="3"/>
      <x:c r="K120" s="4"/>
      <x:c r="L120" s="4"/>
      <x:c r="M120" s="5">
        <x:f>+K120+L120</x:f>
        <x:v>0</x:v>
      </x:c>
      <x:c r="N120" s="6"/>
    </x:row>
    <x:row r="121" spans="1:14" s="2" customFormat="1" ht="20.100000000000001" customHeight="1">
      <x:c r="A121" s="7" t="s">
        <x:v>155</x:v>
      </x:c>
      <x:c r="B121" s="8"/>
      <x:c r="C121" s="8"/>
      <x:c r="D121" s="9">
        <x:f>SUM(D117:D120)</x:f>
        <x:v>0</x:v>
      </x:c>
      <x:c r="E121" s="9">
        <x:f>SUM(E117:E120)</x:f>
        <x:v>0</x:v>
      </x:c>
      <x:c r="F121" s="10">
        <x:f>SUM(F117:F120)</x:f>
        <x:v>0</x:v>
      </x:c>
      <x:c r="G121" s="11"/>
      <x:c r="H121" s="7" t="s">
        <x:v>155</x:v>
      </x:c>
      <x:c r="I121" s="8"/>
      <x:c r="J121" s="8"/>
      <x:c r="K121" s="9">
        <x:f>SUM(K117:K120)</x:f>
        <x:v>29340000</x:v>
      </x:c>
      <x:c r="L121" s="9">
        <x:f>SUM(L117:L120)</x:f>
        <x:v>0</x:v>
      </x:c>
      <x:c r="M121" s="10">
        <x:f>SUM(M117:M120)</x:f>
        <x:v>29340000</x:v>
      </x:c>
      <x:c r="N121" s="11"/>
    </x:row>
    <x:row r="122" spans="1:14" s="2" customFormat="1" ht="20.100000000000001" customHeight="1">
      <x:c r="A122" s="301" t="s">
        <x:v>187</x:v>
      </x:c>
      <x:c r="B122" s="3" t="s">
        <x:v>484</x:v>
      </x:c>
      <x:c r="C122" s="3" t="s">
        <x:v>1373</x:v>
      </x:c>
      <x:c r="D122" s="4"/>
      <x:c r="E122" s="4">
        <x:f>+D122*0.1</x:f>
        <x:v>0</x:v>
      </x:c>
      <x:c r="F122" s="5">
        <x:f>+D122+E122</x:f>
        <x:v>0</x:v>
      </x:c>
      <x:c r="G122" s="180" t="s">
        <x:v>258</x:v>
      </x:c>
      <x:c r="H122" s="301" t="s">
        <x:v>187</x:v>
      </x:c>
      <x:c r="I122" s="3" t="s">
        <x:v>857</x:v>
      </x:c>
      <x:c r="J122" s="3" t="s">
        <x:v>1006</x:v>
      </x:c>
      <x:c r="K122" s="4">
        <x:v>300000</x:v>
      </x:c>
      <x:c r="L122" s="4">
        <x:f>+K122*0.1</x:f>
        <x:v>30000</x:v>
      </x:c>
      <x:c r="M122" s="5">
        <x:f>+K122+L122</x:f>
        <x:v>330000</x:v>
      </x:c>
      <x:c r="N122" s="6"/>
    </x:row>
    <x:row r="123" spans="1:14" s="2" customFormat="1" ht="20.100000000000001" customHeight="1">
      <x:c r="A123" s="299"/>
      <x:c r="B123" s="3"/>
      <x:c r="C123" s="3"/>
      <x:c r="D123" s="4"/>
      <x:c r="E123" s="4"/>
      <x:c r="F123" s="5">
        <x:f>+D123+E123</x:f>
        <x:v>0</x:v>
      </x:c>
      <x:c r="G123" s="180"/>
      <x:c r="H123" s="299"/>
      <x:c r="I123" s="3" t="s">
        <x:v>559</x:v>
      </x:c>
      <x:c r="J123" s="3" t="s">
        <x:v>948</x:v>
      </x:c>
      <x:c r="K123" s="4"/>
      <x:c r="L123" s="4">
        <x:f>+K123*0.1</x:f>
        <x:v>0</x:v>
      </x:c>
      <x:c r="M123" s="5">
        <x:f>+K123+L123</x:f>
        <x:v>0</x:v>
      </x:c>
      <x:c r="N123" s="6"/>
    </x:row>
    <x:row r="124" spans="1:14" s="2" customFormat="1" ht="20.100000000000001" customHeight="1">
      <x:c r="A124" s="299"/>
      <x:c r="B124" s="3"/>
      <x:c r="C124" s="3"/>
      <x:c r="D124" s="4"/>
      <x:c r="E124" s="4"/>
      <x:c r="F124" s="5">
        <x:f>+D124+E124</x:f>
        <x:v>0</x:v>
      </x:c>
      <x:c r="G124" s="180"/>
      <x:c r="H124" s="299"/>
      <x:c r="I124" s="3"/>
      <x:c r="J124" s="3"/>
      <x:c r="K124" s="4"/>
      <x:c r="L124" s="4"/>
      <x:c r="M124" s="5">
        <x:f>+K124+L124</x:f>
        <x:v>0</x:v>
      </x:c>
      <x:c r="N124" s="6"/>
    </x:row>
    <x:row r="125" spans="1:14" s="2" customFormat="1" ht="20.100000000000001" customHeight="1">
      <x:c r="A125" s="300"/>
      <x:c r="B125" s="3"/>
      <x:c r="C125" s="3"/>
      <x:c r="D125" s="4"/>
      <x:c r="E125" s="4"/>
      <x:c r="F125" s="5">
        <x:f>+D125+E125</x:f>
        <x:v>0</x:v>
      </x:c>
      <x:c r="G125" s="6"/>
      <x:c r="H125" s="300"/>
      <x:c r="I125" s="3"/>
      <x:c r="J125" s="3"/>
      <x:c r="K125" s="4"/>
      <x:c r="L125" s="4"/>
      <x:c r="M125" s="5">
        <x:f>+K125+L125</x:f>
        <x:v>0</x:v>
      </x:c>
      <x:c r="N125" s="6"/>
    </x:row>
    <x:row r="126" spans="1:14" s="2" customFormat="1" ht="20.100000000000001" customHeight="1">
      <x:c r="A126" s="7" t="s">
        <x:v>155</x:v>
      </x:c>
      <x:c r="B126" s="8"/>
      <x:c r="C126" s="8"/>
      <x:c r="D126" s="9">
        <x:f>SUM(D122:D125)</x:f>
        <x:v>0</x:v>
      </x:c>
      <x:c r="E126" s="9">
        <x:f>SUM(E122:E125)</x:f>
        <x:v>0</x:v>
      </x:c>
      <x:c r="F126" s="10">
        <x:f>SUM(F122:F125)</x:f>
        <x:v>0</x:v>
      </x:c>
      <x:c r="G126" s="11"/>
      <x:c r="H126" s="7" t="s">
        <x:v>155</x:v>
      </x:c>
      <x:c r="I126" s="8"/>
      <x:c r="J126" s="8"/>
      <x:c r="K126" s="9">
        <x:f>SUM(K122:K125)</x:f>
        <x:v>300000</x:v>
      </x:c>
      <x:c r="L126" s="9">
        <x:f>SUM(L122:L125)</x:f>
        <x:v>30000</x:v>
      </x:c>
      <x:c r="M126" s="10">
        <x:f>SUM(M122:M125)</x:f>
        <x:v>330000</x:v>
      </x:c>
      <x:c r="N126" s="11"/>
    </x:row>
    <x:row r="127" spans="1:14" s="2" customFormat="1" ht="20.100000000000001" customHeight="1">
      <x:c r="A127" s="301" t="s">
        <x:v>149</x:v>
      </x:c>
      <x:c r="B127" s="3" t="s">
        <x:v>1404</x:v>
      </x:c>
      <x:c r="C127" s="3" t="s">
        <x:v>887</x:v>
      </x:c>
      <x:c r="D127" s="4"/>
      <x:c r="E127" s="4"/>
      <x:c r="F127" s="5">
        <x:f>+D127+E127</x:f>
        <x:v>0</x:v>
      </x:c>
      <x:c r="G127" s="6" t="s">
        <x:v>489</x:v>
      </x:c>
      <x:c r="H127" s="301" t="s">
        <x:v>149</x:v>
      </x:c>
      <x:c r="I127" s="3" t="s">
        <x:v>169</x:v>
      </x:c>
      <x:c r="J127" s="3" t="s">
        <x:v>149</x:v>
      </x:c>
      <x:c r="K127" s="4">
        <x:v>1456610</x:v>
      </x:c>
      <x:c r="L127" s="4">
        <x:v>7000</x:v>
      </x:c>
      <x:c r="M127" s="5">
        <x:f t="shared" ref="M127:M133" si="22">+K127+L127</x:f>
        <x:v>1463610</x:v>
      </x:c>
      <x:c r="N127" s="6" t="s">
        <x:v>1518</x:v>
      </x:c>
    </x:row>
    <x:row r="128" spans="1:14" s="2" customFormat="1" ht="20.100000000000001" customHeight="1">
      <x:c r="A128" s="299"/>
      <x:c r="B128" s="3" t="s">
        <x:v>247</x:v>
      </x:c>
      <x:c r="C128" s="3" t="s">
        <x:v>571</x:v>
      </x:c>
      <x:c r="D128" s="4"/>
      <x:c r="E128" s="4">
        <x:f>+D128*0.1</x:f>
        <x:v>0</x:v>
      </x:c>
      <x:c r="F128" s="5">
        <x:f>+D128+E128</x:f>
        <x:v>0</x:v>
      </x:c>
      <x:c r="G128" s="6"/>
      <x:c r="H128" s="299"/>
      <x:c r="I128" s="3" t="s">
        <x:v>1650</x:v>
      </x:c>
      <x:c r="J128" s="3" t="s">
        <x:v>1356</x:v>
      </x:c>
      <x:c r="K128" s="4">
        <x:v>1686000</x:v>
      </x:c>
      <x:c r="L128" s="4">
        <x:f>+K128*0.1</x:f>
        <x:v>168600</x:v>
      </x:c>
      <x:c r="M128" s="5">
        <x:f t="shared" si="22"/>
        <x:v>1854600</x:v>
      </x:c>
      <x:c r="N128" s="6"/>
    </x:row>
    <x:row r="129" spans="1:14" s="2" customFormat="1" ht="20.100000000000001" customHeight="1">
      <x:c r="A129" s="299"/>
      <x:c r="B129" s="3"/>
      <x:c r="C129" s="3"/>
      <x:c r="D129" s="4"/>
      <x:c r="E129" s="4"/>
      <x:c r="F129" s="5">
        <x:f>+D129+E129</x:f>
        <x:v>0</x:v>
      </x:c>
      <x:c r="G129" s="6"/>
      <x:c r="H129" s="299"/>
      <x:c r="I129" s="3" t="s">
        <x:v>261</x:v>
      </x:c>
      <x:c r="J129" s="3" t="s">
        <x:v>517</x:v>
      </x:c>
      <x:c r="K129" s="4">
        <x:v>500000</x:v>
      </x:c>
      <x:c r="L129" s="4"/>
      <x:c r="M129" s="5">
        <x:f t="shared" si="22"/>
        <x:v>500000</x:v>
      </x:c>
      <x:c r="N129" s="6"/>
    </x:row>
    <x:row r="130" spans="1:14" s="2" customFormat="1" ht="20.100000000000001" customHeight="1">
      <x:c r="A130" s="299"/>
      <x:c r="B130" s="3"/>
      <x:c r="C130" s="3"/>
      <x:c r="D130" s="4"/>
      <x:c r="E130" s="4"/>
      <x:c r="F130" s="5">
        <x:f t="shared" ref="F130:F136" si="23">+D130+E130</x:f>
        <x:v>0</x:v>
      </x:c>
      <x:c r="G130" s="6"/>
      <x:c r="H130" s="299"/>
      <x:c r="I130" s="3" t="s">
        <x:v>527</x:v>
      </x:c>
      <x:c r="J130" s="3" t="s">
        <x:v>914</x:v>
      </x:c>
      <x:c r="K130" s="4">
        <x:v>130000</x:v>
      </x:c>
      <x:c r="L130" s="4">
        <x:f>+K130*0.1</x:f>
        <x:v>13000</x:v>
      </x:c>
      <x:c r="M130" s="5">
        <x:f t="shared" si="22"/>
        <x:v>143000</x:v>
      </x:c>
      <x:c r="N130" s="6"/>
    </x:row>
    <x:row r="131" spans="1:14" s="2" customFormat="1" ht="20.100000000000001" customHeight="1">
      <x:c r="A131" s="299"/>
      <x:c r="B131" s="3"/>
      <x:c r="C131" s="3"/>
      <x:c r="D131" s="4"/>
      <x:c r="E131" s="4"/>
      <x:c r="F131" s="5">
        <x:f t="shared" si="23"/>
        <x:v>0</x:v>
      </x:c>
      <x:c r="G131" s="6"/>
      <x:c r="H131" s="299"/>
      <x:c r="I131" s="3" t="s">
        <x:v>247</x:v>
      </x:c>
      <x:c r="J131" s="3" t="s">
        <x:v>231</x:v>
      </x:c>
      <x:c r="K131" s="4">
        <x:v>42000</x:v>
      </x:c>
      <x:c r="L131" s="4">
        <x:f>+K131*0.1</x:f>
        <x:v>4200</x:v>
      </x:c>
      <x:c r="M131" s="5">
        <x:f t="shared" si="22"/>
        <x:v>46200</x:v>
      </x:c>
      <x:c r="N131" s="6" t="s">
        <x:v>1451</x:v>
      </x:c>
    </x:row>
    <x:row r="132" spans="1:14" s="2" customFormat="1" ht="20.100000000000001" customHeight="1">
      <x:c r="A132" s="299"/>
      <x:c r="B132" s="3"/>
      <x:c r="C132" s="3"/>
      <x:c r="D132" s="4"/>
      <x:c r="E132" s="4"/>
      <x:c r="F132" s="5">
        <x:f t="shared" si="23"/>
        <x:v>0</x:v>
      </x:c>
      <x:c r="G132" s="6"/>
      <x:c r="H132" s="299"/>
      <x:c r="I132" s="3" t="s">
        <x:v>555</x:v>
      </x:c>
      <x:c r="J132" s="3" t="s">
        <x:v>167</x:v>
      </x:c>
      <x:c r="K132" s="4">
        <x:v>30000</x:v>
      </x:c>
      <x:c r="L132" s="4">
        <x:f>+K132*0.1</x:f>
        <x:v>3000</x:v>
      </x:c>
      <x:c r="M132" s="5">
        <x:f t="shared" si="22"/>
        <x:v>33000</x:v>
      </x:c>
      <x:c r="N132" s="6"/>
    </x:row>
    <x:row r="133" spans="1:14" s="2" customFormat="1" ht="20.100000000000001" customHeight="1">
      <x:c r="A133" s="299"/>
      <x:c r="B133" s="3"/>
      <x:c r="C133" s="3"/>
      <x:c r="D133" s="4"/>
      <x:c r="E133" s="4"/>
      <x:c r="F133" s="5">
        <x:f t="shared" si="23"/>
        <x:v>0</x:v>
      </x:c>
      <x:c r="G133" s="6"/>
      <x:c r="H133" s="299"/>
      <x:c r="I133" s="3" t="s">
        <x:v>162</x:v>
      </x:c>
      <x:c r="J133" s="3" t="s">
        <x:v>592</x:v>
      </x:c>
      <x:c r="K133" s="4"/>
      <x:c r="L133" s="4"/>
      <x:c r="M133" s="5">
        <x:f t="shared" si="22"/>
        <x:v>0</x:v>
      </x:c>
      <x:c r="N133" s="6"/>
    </x:row>
    <x:row r="134" spans="1:14" s="2" customFormat="1" ht="20.100000000000001" customHeight="1">
      <x:c r="A134" s="299"/>
      <x:c r="B134" s="3"/>
      <x:c r="C134" s="3"/>
      <x:c r="D134" s="4"/>
      <x:c r="E134" s="4"/>
      <x:c r="F134" s="5">
        <x:f t="shared" si="23"/>
        <x:v>0</x:v>
      </x:c>
      <x:c r="G134" s="6"/>
      <x:c r="H134" s="299"/>
      <x:c r="I134" s="3" t="s">
        <x:v>1663</x:v>
      </x:c>
      <x:c r="J134" s="3" t="s">
        <x:v>312</x:v>
      </x:c>
      <x:c r="K134" s="4"/>
      <x:c r="L134" s="4">
        <x:f>+K134*0.1</x:f>
        <x:v>0</x:v>
      </x:c>
      <x:c r="M134" s="5">
        <x:f>+K134+L134</x:f>
        <x:v>0</x:v>
      </x:c>
      <x:c r="N134" s="6"/>
    </x:row>
    <x:row r="135" spans="1:14" s="2" customFormat="1" ht="20.100000000000001" customHeight="1">
      <x:c r="A135" s="299"/>
      <x:c r="B135" s="3"/>
      <x:c r="C135" s="3"/>
      <x:c r="D135" s="4"/>
      <x:c r="E135" s="4"/>
      <x:c r="F135" s="5">
        <x:f t="shared" si="23"/>
        <x:v>0</x:v>
      </x:c>
      <x:c r="G135" s="6"/>
      <x:c r="H135" s="299"/>
      <x:c r="I135" s="3" t="s">
        <x:v>1404</x:v>
      </x:c>
      <x:c r="J135" s="3" t="s">
        <x:v>887</x:v>
      </x:c>
      <x:c r="K135" s="4"/>
      <x:c r="L135" s="4"/>
      <x:c r="M135" s="5">
        <x:f>+K135+L135</x:f>
        <x:v>0</x:v>
      </x:c>
      <x:c r="N135" s="6" t="s">
        <x:v>489</x:v>
      </x:c>
    </x:row>
    <x:row r="136" spans="1:14" s="2" customFormat="1" ht="20.100000000000001" customHeight="1">
      <x:c r="A136" s="300"/>
      <x:c r="B136" s="3"/>
      <x:c r="C136" s="3"/>
      <x:c r="D136" s="4"/>
      <x:c r="E136" s="4"/>
      <x:c r="F136" s="5">
        <x:f t="shared" si="23"/>
        <x:v>0</x:v>
      </x:c>
      <x:c r="G136" s="6"/>
      <x:c r="H136" s="300"/>
      <x:c r="I136" s="3" t="s">
        <x:v>1425</x:v>
      </x:c>
      <x:c r="J136" s="3" t="s">
        <x:v>287</x:v>
      </x:c>
      <x:c r="K136" s="4">
        <x:v>137202</x:v>
      </x:c>
      <x:c r="L136" s="4">
        <x:f>+K136*0.1</x:f>
        <x:v>13720.200000000001</x:v>
      </x:c>
      <x:c r="M136" s="5">
        <x:f>+K136+L136</x:f>
        <x:v>150922.20000000001</x:v>
      </x:c>
      <x:c r="N136" s="6"/>
    </x:row>
    <x:row r="137" spans="1:14" s="2" customFormat="1" ht="20.100000000000001" customHeight="1">
      <x:c r="A137" s="7" t="s">
        <x:v>155</x:v>
      </x:c>
      <x:c r="B137" s="8"/>
      <x:c r="C137" s="8"/>
      <x:c r="D137" s="9">
        <x:f>SUM(D127:D136)</x:f>
        <x:v>0</x:v>
      </x:c>
      <x:c r="E137" s="9">
        <x:f>SUM(E127:E136)</x:f>
        <x:v>0</x:v>
      </x:c>
      <x:c r="F137" s="10">
        <x:f>SUM(F127:F136)</x:f>
        <x:v>0</x:v>
      </x:c>
      <x:c r="G137" s="11"/>
      <x:c r="H137" s="7" t="s">
        <x:v>155</x:v>
      </x:c>
      <x:c r="I137" s="8"/>
      <x:c r="J137" s="8"/>
      <x:c r="K137" s="9">
        <x:f>SUM(K127:K136)</x:f>
        <x:v>3981812</x:v>
      </x:c>
      <x:c r="L137" s="9">
        <x:f>SUM(L127:L136)</x:f>
        <x:v>209520.20000000001</x:v>
      </x:c>
      <x:c r="M137" s="10">
        <x:f>SUM(M127:M136)</x:f>
        <x:v>4191332.2000000002</x:v>
      </x:c>
      <x:c r="N137" s="11"/>
    </x:row>
    <x:row r="138" spans="1:14" s="2" customFormat="1" ht="20.100000000000001" customHeight="1">
      <x:c r="A138" s="12" t="s">
        <x:v>1690</x:v>
      </x:c>
      <x:c r="B138" s="13"/>
      <x:c r="C138" s="13"/>
      <x:c r="D138" s="14">
        <x:f>+D116+D121+D126+D137</x:f>
        <x:v>0</x:v>
      </x:c>
      <x:c r="E138" s="14">
        <x:f>+E116+E121+E126+E137</x:f>
        <x:v>0</x:v>
      </x:c>
      <x:c r="F138" s="15">
        <x:f>+F116+F121+F126+F137</x:f>
        <x:v>0</x:v>
      </x:c>
      <x:c r="G138" s="16"/>
      <x:c r="H138" s="12" t="s">
        <x:v>1690</x:v>
      </x:c>
      <x:c r="I138" s="13"/>
      <x:c r="J138" s="13"/>
      <x:c r="K138" s="14">
        <x:f>+K116+K121+K126+K137</x:f>
        <x:v>45474022</x:v>
      </x:c>
      <x:c r="L138" s="14">
        <x:f>+L116+L121+L126+L137</x:f>
        <x:v>1424741.2</x:v>
      </x:c>
      <x:c r="M138" s="15">
        <x:f>+M116+M121+M126+M137</x:f>
        <x:v>46898763.200000003</x:v>
      </x:c>
      <x:c r="N138" s="16"/>
    </x:row>
    <x:row r="139" spans="1:14" s="2" customFormat="1" ht="20.100000000000001" customHeight="1">
      <x:c r="A139" s="23" t="s">
        <x:v>35</x:v>
      </x:c>
      <x:c r="B139" s="24"/>
      <x:c r="C139" s="24"/>
      <x:c r="D139" s="25">
        <x:f>+D99-D138</x:f>
        <x:v>0</x:v>
      </x:c>
      <x:c r="E139" s="25">
        <x:f>+E99-E138</x:f>
        <x:v>0</x:v>
      </x:c>
      <x:c r="F139" s="26">
        <x:f>+F99-F138</x:f>
        <x:v>0</x:v>
      </x:c>
      <x:c r="G139" s="27"/>
      <x:c r="H139" s="23" t="s">
        <x:v>35</x:v>
      </x:c>
      <x:c r="I139" s="24"/>
      <x:c r="J139" s="24"/>
      <x:c r="K139" s="25">
        <x:f>+K99-K138</x:f>
        <x:v>-45474022</x:v>
      </x:c>
      <x:c r="L139" s="25">
        <x:f>+L99-L138</x:f>
        <x:v>-1424741.2</x:v>
      </x:c>
      <x:c r="M139" s="26">
        <x:f>+M99-M138</x:f>
        <x:v>-46898763.200000003</x:v>
      </x:c>
      <x:c r="N139" s="27"/>
    </x:row>
    <x:row r="140" spans="1:14" s="2" customFormat="1" ht="20.100000000000001" customHeight="1">
      <x:c r="A140" s="302" t="s">
        <x:v>580</x:v>
      </x:c>
      <x:c r="B140" s="303"/>
      <x:c r="C140" s="303"/>
      <x:c r="D140" s="303"/>
      <x:c r="E140" s="303"/>
      <x:c r="F140" s="304"/>
      <x:c r="G140" s="305"/>
      <x:c r="H140" s="302" t="s">
        <x:v>560</x:v>
      </x:c>
      <x:c r="I140" s="303"/>
      <x:c r="J140" s="303"/>
      <x:c r="K140" s="303"/>
      <x:c r="L140" s="303"/>
      <x:c r="M140" s="304"/>
      <x:c r="N140" s="305"/>
    </x:row>
    <x:row r="141" spans="1:14" s="2" customFormat="1" ht="20.100000000000001" customHeight="1">
      <x:c r="A141" s="29" t="s">
        <x:v>147</x:v>
      </x:c>
      <x:c r="B141" s="283" t="s">
        <x:v>144</x:v>
      </x:c>
      <x:c r="C141" s="283" t="s">
        <x:v>150</x:v>
      </x:c>
      <x:c r="D141" s="31" t="s">
        <x:v>145</x:v>
      </x:c>
      <x:c r="E141" s="31" t="s">
        <x:v>152</x:v>
      </x:c>
      <x:c r="F141" s="31" t="s">
        <x:v>146</x:v>
      </x:c>
      <x:c r="G141" s="34" t="s">
        <x:v>154</x:v>
      </x:c>
      <x:c r="H141" s="29" t="s">
        <x:v>147</x:v>
      </x:c>
      <x:c r="I141" s="283" t="s">
        <x:v>144</x:v>
      </x:c>
      <x:c r="J141" s="283" t="s">
        <x:v>150</x:v>
      </x:c>
      <x:c r="K141" s="31" t="s">
        <x:v>145</x:v>
      </x:c>
      <x:c r="L141" s="31" t="s">
        <x:v>152</x:v>
      </x:c>
      <x:c r="M141" s="31" t="s">
        <x:v>146</x:v>
      </x:c>
      <x:c r="N141" s="34" t="s">
        <x:v>154</x:v>
      </x:c>
    </x:row>
    <x:row r="142" spans="1:14" s="2" customFormat="1" ht="20.100000000000001" customHeight="1">
      <x:c r="A142" s="41" t="s">
        <x:v>151</x:v>
      </x:c>
      <x:c r="B142" s="38" t="s">
        <x:v>1679</x:v>
      </x:c>
      <x:c r="C142" s="38" t="s">
        <x:v>791</x:v>
      </x:c>
      <x:c r="D142" s="39"/>
      <x:c r="E142" s="39"/>
      <x:c r="F142" s="40">
        <x:f>+D142+E142</x:f>
        <x:v>0</x:v>
      </x:c>
      <x:c r="G142" s="42"/>
      <x:c r="H142" s="41" t="s">
        <x:v>151</x:v>
      </x:c>
      <x:c r="I142" s="38" t="s">
        <x:v>1679</x:v>
      </x:c>
      <x:c r="J142" s="38" t="s">
        <x:v>156</x:v>
      </x:c>
      <x:c r="K142" s="39"/>
      <x:c r="L142" s="39"/>
      <x:c r="M142" s="40">
        <x:f>+K142+L142</x:f>
        <x:v>0</x:v>
      </x:c>
      <x:c r="N142" s="42"/>
    </x:row>
    <x:row r="143" spans="1:14" s="2" customFormat="1" ht="20.100000000000001" customHeight="1">
      <x:c r="A143" s="298" t="s">
        <x:v>148</x:v>
      </x:c>
      <x:c r="B143" s="19" t="s">
        <x:v>1348</x:v>
      </x:c>
      <x:c r="C143" s="19" t="s">
        <x:v>1668</x:v>
      </x:c>
      <x:c r="D143" s="20">
        <x:v>3821040</x:v>
      </x:c>
      <x:c r="E143" s="20">
        <x:f>+D143*0.1</x:f>
        <x:v>382104</x:v>
      </x:c>
      <x:c r="F143" s="21">
        <x:f t="shared" ref="F143:F158" si="24">+D143+E143</x:f>
        <x:v>4203144</x:v>
      </x:c>
      <x:c r="G143" s="22"/>
      <x:c r="H143" s="298" t="s">
        <x:v>148</x:v>
      </x:c>
      <x:c r="I143" s="19"/>
      <x:c r="J143" s="19"/>
      <x:c r="K143" s="20"/>
      <x:c r="L143" s="20">
        <x:f>+K143*0.1</x:f>
        <x:v>0</x:v>
      </x:c>
      <x:c r="M143" s="21">
        <x:f t="shared" ref="M143:M158" si="25">+K143+L143</x:f>
        <x:v>0</x:v>
      </x:c>
      <x:c r="N143" s="22"/>
    </x:row>
    <x:row r="144" spans="1:14" s="2" customFormat="1" ht="20.100000000000001" customHeight="1">
      <x:c r="A144" s="299"/>
      <x:c r="B144" s="3" t="s">
        <x:v>867</x:v>
      </x:c>
      <x:c r="C144" s="3" t="s">
        <x:v>1287</x:v>
      </x:c>
      <x:c r="D144" s="4">
        <x:v>5680600</x:v>
      </x:c>
      <x:c r="E144" s="4">
        <x:f>+D144*0.1</x:f>
        <x:v>568060</x:v>
      </x:c>
      <x:c r="F144" s="5">
        <x:f t="shared" si="24"/>
        <x:v>6248660</x:v>
      </x:c>
      <x:c r="G144" s="6"/>
      <x:c r="H144" s="299"/>
      <x:c r="I144" s="3"/>
      <x:c r="J144" s="3"/>
      <x:c r="K144" s="4"/>
      <x:c r="L144" s="4"/>
      <x:c r="M144" s="5">
        <x:f t="shared" si="25"/>
        <x:v>0</x:v>
      </x:c>
      <x:c r="N144" s="6"/>
    </x:row>
    <x:row r="145" spans="1:14" s="2" customFormat="1" ht="20.100000000000001" customHeight="1">
      <x:c r="A145" s="299"/>
      <x:c r="B145" s="3"/>
      <x:c r="C145" s="3"/>
      <x:c r="D145" s="4"/>
      <x:c r="E145" s="4">
        <x:f>+D145*0.1</x:f>
        <x:v>0</x:v>
      </x:c>
      <x:c r="F145" s="5">
        <x:f t="shared" si="24"/>
        <x:v>0</x:v>
      </x:c>
      <x:c r="G145" s="6"/>
      <x:c r="H145" s="299"/>
      <x:c r="I145" s="3"/>
      <x:c r="J145" s="3"/>
      <x:c r="K145" s="4"/>
      <x:c r="L145" s="4">
        <x:f>+K145*0.1</x:f>
        <x:v>0</x:v>
      </x:c>
      <x:c r="M145" s="5">
        <x:f t="shared" si="25"/>
        <x:v>0</x:v>
      </x:c>
      <x:c r="N145" s="6"/>
    </x:row>
    <x:row r="146" spans="1:14" s="2" customFormat="1" ht="20.100000000000001" customHeight="1">
      <x:c r="A146" s="299"/>
      <x:c r="B146" s="3"/>
      <x:c r="C146" s="3"/>
      <x:c r="D146" s="4"/>
      <x:c r="E146" s="4">
        <x:f>+D146*0.1</x:f>
        <x:v>0</x:v>
      </x:c>
      <x:c r="F146" s="5">
        <x:f t="shared" si="24"/>
        <x:v>0</x:v>
      </x:c>
      <x:c r="G146" s="6"/>
      <x:c r="H146" s="299"/>
      <x:c r="I146" s="3"/>
      <x:c r="J146" s="3"/>
      <x:c r="K146" s="4"/>
      <x:c r="L146" s="4">
        <x:f>+K146*0.1</x:f>
        <x:v>0</x:v>
      </x:c>
      <x:c r="M146" s="5">
        <x:f t="shared" si="25"/>
        <x:v>0</x:v>
      </x:c>
      <x:c r="N146" s="6"/>
    </x:row>
    <x:row r="147" spans="1:14" s="2" customFormat="1" ht="20.100000000000001" customHeight="1">
      <x:c r="A147" s="299"/>
      <x:c r="B147" s="3"/>
      <x:c r="C147" s="3"/>
      <x:c r="D147" s="4"/>
      <x:c r="E147" s="4">
        <x:f>+D147*0.1</x:f>
        <x:v>0</x:v>
      </x:c>
      <x:c r="F147" s="5">
        <x:f t="shared" si="24"/>
        <x:v>0</x:v>
      </x:c>
      <x:c r="G147" s="6"/>
      <x:c r="H147" s="299"/>
      <x:c r="I147" s="3"/>
      <x:c r="J147" s="3"/>
      <x:c r="K147" s="4"/>
      <x:c r="L147" s="4">
        <x:f>+K147*0.1</x:f>
        <x:v>0</x:v>
      </x:c>
      <x:c r="M147" s="5">
        <x:f t="shared" si="25"/>
        <x:v>0</x:v>
      </x:c>
      <x:c r="N147" s="6"/>
    </x:row>
    <x:row r="148" spans="1:14" s="2" customFormat="1" ht="20.100000000000001" customHeight="1">
      <x:c r="A148" s="299"/>
      <x:c r="B148" s="3"/>
      <x:c r="C148" s="3"/>
      <x:c r="D148" s="4"/>
      <x:c r="E148" s="4">
        <x:f t="shared" ref="E148:E158" si="26">+D148*0.1</x:f>
        <x:v>0</x:v>
      </x:c>
      <x:c r="F148" s="5">
        <x:f t="shared" si="24"/>
        <x:v>0</x:v>
      </x:c>
      <x:c r="G148" s="6"/>
      <x:c r="H148" s="299"/>
      <x:c r="I148" s="3"/>
      <x:c r="J148" s="3"/>
      <x:c r="K148" s="4"/>
      <x:c r="L148" s="4">
        <x:f t="shared" ref="L148:L158" si="27">+K148*0.1</x:f>
        <x:v>0</x:v>
      </x:c>
      <x:c r="M148" s="5">
        <x:f t="shared" si="25"/>
        <x:v>0</x:v>
      </x:c>
      <x:c r="N148" s="6"/>
    </x:row>
    <x:row r="149" spans="1:14" s="2" customFormat="1" ht="20.100000000000001" customHeight="1">
      <x:c r="A149" s="299"/>
      <x:c r="B149" s="3" t="s">
        <x:v>1647</x:v>
      </x:c>
      <x:c r="C149" s="3" t="s">
        <x:v>288</x:v>
      </x:c>
      <x:c r="D149" s="4"/>
      <x:c r="E149" s="4">
        <x:f t="shared" si="26"/>
        <x:v>0</x:v>
      </x:c>
      <x:c r="F149" s="5">
        <x:f t="shared" si="24"/>
        <x:v>0</x:v>
      </x:c>
      <x:c r="G149" s="6"/>
      <x:c r="H149" s="299"/>
      <x:c r="I149" s="3"/>
      <x:c r="J149" s="3"/>
      <x:c r="K149" s="4"/>
      <x:c r="L149" s="4">
        <x:f t="shared" si="27"/>
        <x:v>0</x:v>
      </x:c>
      <x:c r="M149" s="5">
        <x:f t="shared" si="25"/>
        <x:v>0</x:v>
      </x:c>
      <x:c r="N149" s="6"/>
    </x:row>
    <x:row r="150" spans="1:14" s="2" customFormat="1" ht="20.100000000000001" customHeight="1">
      <x:c r="A150" s="299"/>
      <x:c r="B150" s="3"/>
      <x:c r="C150" s="3"/>
      <x:c r="D150" s="4"/>
      <x:c r="E150" s="4">
        <x:f t="shared" si="26"/>
        <x:v>0</x:v>
      </x:c>
      <x:c r="F150" s="5">
        <x:f t="shared" si="24"/>
        <x:v>0</x:v>
      </x:c>
      <x:c r="G150" s="6"/>
      <x:c r="H150" s="299"/>
      <x:c r="I150" s="3"/>
      <x:c r="J150" s="3"/>
      <x:c r="K150" s="4"/>
      <x:c r="L150" s="4">
        <x:f t="shared" si="27"/>
        <x:v>0</x:v>
      </x:c>
      <x:c r="M150" s="5">
        <x:f t="shared" si="25"/>
        <x:v>0</x:v>
      </x:c>
      <x:c r="N150" s="6"/>
    </x:row>
    <x:row r="151" spans="1:14" s="2" customFormat="1" ht="20.100000000000001" customHeight="1">
      <x:c r="A151" s="299"/>
      <x:c r="B151" s="3"/>
      <x:c r="C151" s="3"/>
      <x:c r="D151" s="4"/>
      <x:c r="E151" s="4">
        <x:f t="shared" si="26"/>
        <x:v>0</x:v>
      </x:c>
      <x:c r="F151" s="5">
        <x:f t="shared" si="24"/>
        <x:v>0</x:v>
      </x:c>
      <x:c r="G151" s="6"/>
      <x:c r="H151" s="299"/>
      <x:c r="I151" s="3"/>
      <x:c r="J151" s="3"/>
      <x:c r="K151" s="4"/>
      <x:c r="L151" s="4">
        <x:f t="shared" si="27"/>
        <x:v>0</x:v>
      </x:c>
      <x:c r="M151" s="5">
        <x:f t="shared" si="25"/>
        <x:v>0</x:v>
      </x:c>
      <x:c r="N151" s="6"/>
    </x:row>
    <x:row r="152" spans="1:14" s="2" customFormat="1" ht="20.100000000000001" customHeight="1">
      <x:c r="A152" s="299"/>
      <x:c r="B152" s="3"/>
      <x:c r="C152" s="3"/>
      <x:c r="D152" s="4"/>
      <x:c r="E152" s="4">
        <x:f t="shared" si="26"/>
        <x:v>0</x:v>
      </x:c>
      <x:c r="F152" s="5">
        <x:f t="shared" si="24"/>
        <x:v>0</x:v>
      </x:c>
      <x:c r="G152" s="6"/>
      <x:c r="H152" s="299"/>
      <x:c r="I152" s="3"/>
      <x:c r="J152" s="3"/>
      <x:c r="K152" s="4"/>
      <x:c r="L152" s="4">
        <x:f t="shared" si="27"/>
        <x:v>0</x:v>
      </x:c>
      <x:c r="M152" s="5">
        <x:f t="shared" si="25"/>
        <x:v>0</x:v>
      </x:c>
      <x:c r="N152" s="6"/>
    </x:row>
    <x:row r="153" spans="1:14" s="2" customFormat="1" ht="20.100000000000001" customHeight="1">
      <x:c r="A153" s="299"/>
      <x:c r="B153" s="3"/>
      <x:c r="C153" s="3"/>
      <x:c r="D153" s="4"/>
      <x:c r="E153" s="4">
        <x:f t="shared" si="26"/>
        <x:v>0</x:v>
      </x:c>
      <x:c r="F153" s="5">
        <x:f t="shared" si="24"/>
        <x:v>0</x:v>
      </x:c>
      <x:c r="G153" s="6"/>
      <x:c r="H153" s="299"/>
      <x:c r="I153" s="3"/>
      <x:c r="J153" s="3"/>
      <x:c r="K153" s="4"/>
      <x:c r="L153" s="4">
        <x:f t="shared" si="27"/>
        <x:v>0</x:v>
      </x:c>
      <x:c r="M153" s="5">
        <x:f t="shared" si="25"/>
        <x:v>0</x:v>
      </x:c>
      <x:c r="N153" s="6"/>
    </x:row>
    <x:row r="154" spans="1:14" s="2" customFormat="1" ht="20.100000000000001" customHeight="1">
      <x:c r="A154" s="299"/>
      <x:c r="B154" s="3"/>
      <x:c r="C154" s="3"/>
      <x:c r="D154" s="4"/>
      <x:c r="E154" s="4">
        <x:f t="shared" si="26"/>
        <x:v>0</x:v>
      </x:c>
      <x:c r="F154" s="5">
        <x:f t="shared" si="24"/>
        <x:v>0</x:v>
      </x:c>
      <x:c r="G154" s="6"/>
      <x:c r="H154" s="299"/>
      <x:c r="I154" s="3"/>
      <x:c r="J154" s="3"/>
      <x:c r="K154" s="4"/>
      <x:c r="L154" s="4">
        <x:f t="shared" si="27"/>
        <x:v>0</x:v>
      </x:c>
      <x:c r="M154" s="5">
        <x:f t="shared" si="25"/>
        <x:v>0</x:v>
      </x:c>
      <x:c r="N154" s="6"/>
    </x:row>
    <x:row r="155" spans="1:14" s="2" customFormat="1" ht="20.100000000000001" customHeight="1">
      <x:c r="A155" s="299"/>
      <x:c r="B155" s="3"/>
      <x:c r="C155" s="3"/>
      <x:c r="D155" s="4"/>
      <x:c r="E155" s="4">
        <x:f t="shared" si="26"/>
        <x:v>0</x:v>
      </x:c>
      <x:c r="F155" s="5">
        <x:f t="shared" si="24"/>
        <x:v>0</x:v>
      </x:c>
      <x:c r="G155" s="6"/>
      <x:c r="H155" s="299"/>
      <x:c r="I155" s="3"/>
      <x:c r="J155" s="3"/>
      <x:c r="K155" s="4"/>
      <x:c r="L155" s="4">
        <x:f t="shared" si="27"/>
        <x:v>0</x:v>
      </x:c>
      <x:c r="M155" s="5">
        <x:f t="shared" si="25"/>
        <x:v>0</x:v>
      </x:c>
      <x:c r="N155" s="6"/>
    </x:row>
    <x:row r="156" spans="1:14" s="2" customFormat="1" ht="20.100000000000001" customHeight="1">
      <x:c r="A156" s="299"/>
      <x:c r="B156" s="3"/>
      <x:c r="C156" s="3"/>
      <x:c r="D156" s="4"/>
      <x:c r="E156" s="4">
        <x:f t="shared" si="26"/>
        <x:v>0</x:v>
      </x:c>
      <x:c r="F156" s="5">
        <x:f t="shared" si="24"/>
        <x:v>0</x:v>
      </x:c>
      <x:c r="G156" s="6"/>
      <x:c r="H156" s="299"/>
      <x:c r="I156" s="3"/>
      <x:c r="J156" s="3"/>
      <x:c r="K156" s="4"/>
      <x:c r="L156" s="4">
        <x:f t="shared" si="27"/>
        <x:v>0</x:v>
      </x:c>
      <x:c r="M156" s="5">
        <x:f t="shared" si="25"/>
        <x:v>0</x:v>
      </x:c>
      <x:c r="N156" s="6"/>
    </x:row>
    <x:row r="157" spans="1:14" s="2" customFormat="1" ht="20.100000000000001" customHeight="1">
      <x:c r="A157" s="299"/>
      <x:c r="B157" s="3"/>
      <x:c r="C157" s="3"/>
      <x:c r="D157" s="4"/>
      <x:c r="E157" s="4">
        <x:f t="shared" si="26"/>
        <x:v>0</x:v>
      </x:c>
      <x:c r="F157" s="5">
        <x:f t="shared" si="24"/>
        <x:v>0</x:v>
      </x:c>
      <x:c r="G157" s="6"/>
      <x:c r="H157" s="299"/>
      <x:c r="I157" s="3"/>
      <x:c r="J157" s="3"/>
      <x:c r="K157" s="4"/>
      <x:c r="L157" s="4">
        <x:f t="shared" si="27"/>
        <x:v>0</x:v>
      </x:c>
      <x:c r="M157" s="5">
        <x:f t="shared" si="25"/>
        <x:v>0</x:v>
      </x:c>
      <x:c r="N157" s="6"/>
    </x:row>
    <x:row r="158" spans="1:14" s="2" customFormat="1" ht="20.100000000000001" customHeight="1">
      <x:c r="A158" s="300"/>
      <x:c r="B158" s="3"/>
      <x:c r="C158" s="3"/>
      <x:c r="D158" s="4"/>
      <x:c r="E158" s="4">
        <x:f t="shared" si="26"/>
        <x:v>0</x:v>
      </x:c>
      <x:c r="F158" s="5">
        <x:f t="shared" si="24"/>
        <x:v>0</x:v>
      </x:c>
      <x:c r="G158" s="6"/>
      <x:c r="H158" s="300"/>
      <x:c r="I158" s="3"/>
      <x:c r="J158" s="3"/>
      <x:c r="K158" s="4"/>
      <x:c r="L158" s="4">
        <x:f t="shared" si="27"/>
        <x:v>0</x:v>
      </x:c>
      <x:c r="M158" s="5">
        <x:f t="shared" si="25"/>
        <x:v>0</x:v>
      </x:c>
      <x:c r="N158" s="6"/>
    </x:row>
    <x:row r="159" spans="1:14" s="2" customFormat="1" ht="20.100000000000001" customHeight="1">
      <x:c r="A159" s="7" t="s">
        <x:v>155</x:v>
      </x:c>
      <x:c r="B159" s="8"/>
      <x:c r="C159" s="8"/>
      <x:c r="D159" s="9">
        <x:f>SUM(D143:D158)</x:f>
        <x:v>9501640</x:v>
      </x:c>
      <x:c r="E159" s="9">
        <x:f>SUM(E143:E158)</x:f>
        <x:v>950164</x:v>
      </x:c>
      <x:c r="F159" s="10">
        <x:f>SUM(F143:F158)</x:f>
        <x:v>10451804</x:v>
      </x:c>
      <x:c r="G159" s="11"/>
      <x:c r="H159" s="7" t="s">
        <x:v>155</x:v>
      </x:c>
      <x:c r="I159" s="8"/>
      <x:c r="J159" s="8"/>
      <x:c r="K159" s="9">
        <x:f>SUM(K143:K158)</x:f>
        <x:v>0</x:v>
      </x:c>
      <x:c r="L159" s="9">
        <x:f>SUM(L143:L158)</x:f>
        <x:v>0</x:v>
      </x:c>
      <x:c r="M159" s="10">
        <x:f>SUM(M143:M158)</x:f>
        <x:v>0</x:v>
      </x:c>
      <x:c r="N159" s="11"/>
    </x:row>
    <x:row r="160" spans="1:14" s="2" customFormat="1" ht="20.100000000000001" customHeight="1">
      <x:c r="A160" s="301" t="s">
        <x:v>153</x:v>
      </x:c>
      <x:c r="B160" s="3" t="s">
        <x:v>1677</x:v>
      </x:c>
      <x:c r="C160" s="3" t="s">
        <x:v>1096</x:v>
      </x:c>
      <x:c r="D160" s="4"/>
      <x:c r="E160" s="4"/>
      <x:c r="F160" s="5">
        <x:f>+D160+E160</x:f>
        <x:v>0</x:v>
      </x:c>
      <x:c r="G160" s="6"/>
      <x:c r="H160" s="301" t="s">
        <x:v>153</x:v>
      </x:c>
      <x:c r="I160" s="3" t="s">
        <x:v>1677</x:v>
      </x:c>
      <x:c r="J160" s="3"/>
      <x:c r="K160" s="4"/>
      <x:c r="L160" s="4"/>
      <x:c r="M160" s="5">
        <x:f>+K160+L160</x:f>
        <x:v>0</x:v>
      </x:c>
      <x:c r="N160" s="6"/>
    </x:row>
    <x:row r="161" spans="1:14" s="2" customFormat="1" ht="20.100000000000001" customHeight="1">
      <x:c r="A161" s="299"/>
      <x:c r="B161" s="3"/>
      <x:c r="C161" s="3"/>
      <x:c r="D161" s="4"/>
      <x:c r="E161" s="4">
        <x:f>+D161*0.1</x:f>
        <x:v>0</x:v>
      </x:c>
      <x:c r="F161" s="5">
        <x:f>+D161+E161</x:f>
        <x:v>0</x:v>
      </x:c>
      <x:c r="G161" s="6"/>
      <x:c r="H161" s="299"/>
      <x:c r="I161" s="3"/>
      <x:c r="J161" s="3"/>
      <x:c r="K161" s="4"/>
      <x:c r="L161" s="4">
        <x:f>+K161*0.1</x:f>
        <x:v>0</x:v>
      </x:c>
      <x:c r="M161" s="5">
        <x:f>+K161+L161</x:f>
        <x:v>0</x:v>
      </x:c>
      <x:c r="N161" s="6"/>
    </x:row>
    <x:row r="162" spans="1:14" s="2" customFormat="1" ht="20.100000000000001" customHeight="1">
      <x:c r="A162" s="299"/>
      <x:c r="B162" s="3"/>
      <x:c r="C162" s="3"/>
      <x:c r="D162" s="4"/>
      <x:c r="E162" s="4">
        <x:f>+D162*0.1</x:f>
        <x:v>0</x:v>
      </x:c>
      <x:c r="F162" s="5">
        <x:f>+D162+E162</x:f>
        <x:v>0</x:v>
      </x:c>
      <x:c r="G162" s="6"/>
      <x:c r="H162" s="299"/>
      <x:c r="I162" s="3"/>
      <x:c r="J162" s="3"/>
      <x:c r="K162" s="4"/>
      <x:c r="L162" s="4">
        <x:f>+K162*0.1</x:f>
        <x:v>0</x:v>
      </x:c>
      <x:c r="M162" s="5">
        <x:f>+K162+L162</x:f>
        <x:v>0</x:v>
      </x:c>
      <x:c r="N162" s="6"/>
    </x:row>
    <x:row r="163" spans="1:14" s="2" customFormat="1" ht="20.100000000000001" customHeight="1">
      <x:c r="A163" s="300"/>
      <x:c r="B163" s="3"/>
      <x:c r="C163" s="3"/>
      <x:c r="D163" s="4"/>
      <x:c r="E163" s="4">
        <x:f>+D163*0.1</x:f>
        <x:v>0</x:v>
      </x:c>
      <x:c r="F163" s="5">
        <x:f>+D163+E163</x:f>
        <x:v>0</x:v>
      </x:c>
      <x:c r="G163" s="6"/>
      <x:c r="H163" s="300"/>
      <x:c r="I163" s="3"/>
      <x:c r="J163" s="3"/>
      <x:c r="K163" s="4"/>
      <x:c r="L163" s="4">
        <x:f>+K163*0.1</x:f>
        <x:v>0</x:v>
      </x:c>
      <x:c r="M163" s="5">
        <x:f>+K163+L163</x:f>
        <x:v>0</x:v>
      </x:c>
      <x:c r="N163" s="6"/>
    </x:row>
    <x:row r="164" spans="1:14" s="2" customFormat="1" ht="20.100000000000001" customHeight="1">
      <x:c r="A164" s="7" t="s">
        <x:v>155</x:v>
      </x:c>
      <x:c r="B164" s="8"/>
      <x:c r="C164" s="8"/>
      <x:c r="D164" s="9">
        <x:f>SUM(D160:D163)</x:f>
        <x:v>0</x:v>
      </x:c>
      <x:c r="E164" s="9">
        <x:f>SUM(E160:E163)</x:f>
        <x:v>0</x:v>
      </x:c>
      <x:c r="F164" s="10">
        <x:f>SUM(F160:F163)</x:f>
        <x:v>0</x:v>
      </x:c>
      <x:c r="G164" s="11"/>
      <x:c r="H164" s="7" t="s">
        <x:v>155</x:v>
      </x:c>
      <x:c r="I164" s="8"/>
      <x:c r="J164" s="8"/>
      <x:c r="K164" s="9">
        <x:f>SUM(K160:K163)</x:f>
        <x:v>0</x:v>
      </x:c>
      <x:c r="L164" s="9">
        <x:f>SUM(L160:L163)</x:f>
        <x:v>0</x:v>
      </x:c>
      <x:c r="M164" s="10">
        <x:f>SUM(M160:M163)</x:f>
        <x:v>0</x:v>
      </x:c>
      <x:c r="N164" s="11"/>
    </x:row>
    <x:row r="165" spans="1:14" s="2" customFormat="1" ht="20.100000000000001" customHeight="1">
      <x:c r="A165" s="301" t="s">
        <x:v>187</x:v>
      </x:c>
      <x:c r="B165" s="3"/>
      <x:c r="C165" s="3"/>
      <x:c r="D165" s="4"/>
      <x:c r="E165" s="4">
        <x:f>+D165*0.1</x:f>
        <x:v>0</x:v>
      </x:c>
      <x:c r="F165" s="5">
        <x:f>+D165+E165</x:f>
        <x:v>0</x:v>
      </x:c>
      <x:c r="G165" s="6"/>
      <x:c r="H165" s="301" t="s">
        <x:v>187</x:v>
      </x:c>
      <x:c r="I165" s="3"/>
      <x:c r="J165" s="3"/>
      <x:c r="K165" s="4"/>
      <x:c r="L165" s="4">
        <x:f>+K165*0.1</x:f>
        <x:v>0</x:v>
      </x:c>
      <x:c r="M165" s="5">
        <x:f>+K165+L165</x:f>
        <x:v>0</x:v>
      </x:c>
      <x:c r="N165" s="6"/>
    </x:row>
    <x:row r="166" spans="1:14" s="2" customFormat="1" ht="20.100000000000001" customHeight="1">
      <x:c r="A166" s="299"/>
      <x:c r="B166" s="3"/>
      <x:c r="C166" s="3"/>
      <x:c r="D166" s="4"/>
      <x:c r="E166" s="4">
        <x:f>+D166*0.1</x:f>
        <x:v>0</x:v>
      </x:c>
      <x:c r="F166" s="5">
        <x:f>+D166+E166</x:f>
        <x:v>0</x:v>
      </x:c>
      <x:c r="G166" s="6"/>
      <x:c r="H166" s="299"/>
      <x:c r="I166" s="3"/>
      <x:c r="J166" s="3"/>
      <x:c r="K166" s="4"/>
      <x:c r="L166" s="4">
        <x:f>+K166*0.1</x:f>
        <x:v>0</x:v>
      </x:c>
      <x:c r="M166" s="5">
        <x:f>+K166+L166</x:f>
        <x:v>0</x:v>
      </x:c>
      <x:c r="N166" s="6"/>
    </x:row>
    <x:row r="167" spans="1:14" s="2" customFormat="1" ht="20.100000000000001" customHeight="1">
      <x:c r="A167" s="299"/>
      <x:c r="B167" s="3"/>
      <x:c r="C167" s="3"/>
      <x:c r="D167" s="4"/>
      <x:c r="E167" s="4">
        <x:f>+D167*0.1</x:f>
        <x:v>0</x:v>
      </x:c>
      <x:c r="F167" s="5">
        <x:f>+D167+E167</x:f>
        <x:v>0</x:v>
      </x:c>
      <x:c r="G167" s="6"/>
      <x:c r="H167" s="299"/>
      <x:c r="I167" s="3"/>
      <x:c r="J167" s="3"/>
      <x:c r="K167" s="4"/>
      <x:c r="L167" s="4">
        <x:f>+K167*0.1</x:f>
        <x:v>0</x:v>
      </x:c>
      <x:c r="M167" s="5">
        <x:f>+K167+L167</x:f>
        <x:v>0</x:v>
      </x:c>
      <x:c r="N167" s="6"/>
    </x:row>
    <x:row r="168" spans="1:14" s="2" customFormat="1" ht="20.100000000000001" customHeight="1">
      <x:c r="A168" s="300"/>
      <x:c r="B168" s="3"/>
      <x:c r="C168" s="3"/>
      <x:c r="D168" s="4"/>
      <x:c r="E168" s="4">
        <x:f>+D168*0.1</x:f>
        <x:v>0</x:v>
      </x:c>
      <x:c r="F168" s="5">
        <x:f>+D168+E168</x:f>
        <x:v>0</x:v>
      </x:c>
      <x:c r="G168" s="6"/>
      <x:c r="H168" s="300"/>
      <x:c r="I168" s="3"/>
      <x:c r="J168" s="3"/>
      <x:c r="K168" s="4"/>
      <x:c r="L168" s="4">
        <x:f>+K168*0.1</x:f>
        <x:v>0</x:v>
      </x:c>
      <x:c r="M168" s="5">
        <x:f>+K168+L168</x:f>
        <x:v>0</x:v>
      </x:c>
      <x:c r="N168" s="6"/>
    </x:row>
    <x:row r="169" spans="1:14" s="2" customFormat="1" ht="20.100000000000001" customHeight="1">
      <x:c r="A169" s="7" t="s">
        <x:v>155</x:v>
      </x:c>
      <x:c r="B169" s="8"/>
      <x:c r="C169" s="8"/>
      <x:c r="D169" s="9">
        <x:f>SUM(D165:D168)</x:f>
        <x:v>0</x:v>
      </x:c>
      <x:c r="E169" s="9">
        <x:f>SUM(E165:E168)</x:f>
        <x:v>0</x:v>
      </x:c>
      <x:c r="F169" s="10">
        <x:f>SUM(F165:F168)</x:f>
        <x:v>0</x:v>
      </x:c>
      <x:c r="G169" s="11"/>
      <x:c r="H169" s="7" t="s">
        <x:v>155</x:v>
      </x:c>
      <x:c r="I169" s="8"/>
      <x:c r="J169" s="8"/>
      <x:c r="K169" s="9">
        <x:f>SUM(K165:K168)</x:f>
        <x:v>0</x:v>
      </x:c>
      <x:c r="L169" s="9">
        <x:f>SUM(L165:L168)</x:f>
        <x:v>0</x:v>
      </x:c>
      <x:c r="M169" s="10">
        <x:f>SUM(M165:M168)</x:f>
        <x:v>0</x:v>
      </x:c>
      <x:c r="N169" s="11"/>
    </x:row>
    <x:row r="170" spans="1:14" s="2" customFormat="1" ht="20.100000000000001" customHeight="1">
      <x:c r="A170" s="301" t="s">
        <x:v>149</x:v>
      </x:c>
      <x:c r="B170" s="3" t="s">
        <x:v>177</x:v>
      </x:c>
      <x:c r="C170" s="3" t="s">
        <x:v>149</x:v>
      </x:c>
      <x:c r="D170" s="4"/>
      <x:c r="E170" s="4"/>
      <x:c r="F170" s="5">
        <x:f t="shared" ref="F170:F177" si="28">+D170+E170</x:f>
        <x:v>0</x:v>
      </x:c>
      <x:c r="G170" s="6"/>
      <x:c r="H170" s="301" t="s">
        <x:v>149</x:v>
      </x:c>
      <x:c r="I170" s="3"/>
      <x:c r="J170" s="3" t="s">
        <x:v>149</x:v>
      </x:c>
      <x:c r="K170" s="4"/>
      <x:c r="L170" s="4"/>
      <x:c r="M170" s="5">
        <x:f t="shared" ref="M170:M177" si="29">+K170+L170</x:f>
        <x:v>0</x:v>
      </x:c>
      <x:c r="N170" s="6"/>
    </x:row>
    <x:row r="171" spans="1:14" s="2" customFormat="1" ht="20.100000000000001" customHeight="1">
      <x:c r="A171" s="299"/>
      <x:c r="B171" s="3"/>
      <x:c r="C171" s="3"/>
      <x:c r="D171" s="4"/>
      <x:c r="E171" s="4">
        <x:f>+D171*0.1</x:f>
        <x:v>0</x:v>
      </x:c>
      <x:c r="F171" s="5">
        <x:f t="shared" si="28"/>
        <x:v>0</x:v>
      </x:c>
      <x:c r="G171" s="6"/>
      <x:c r="H171" s="299"/>
      <x:c r="I171" s="3" t="s">
        <x:v>1341</x:v>
      </x:c>
      <x:c r="J171" s="3" t="s">
        <x:v>1496</x:v>
      </x:c>
      <x:c r="K171" s="4"/>
      <x:c r="L171" s="4">
        <x:f>+K171*0.1</x:f>
        <x:v>0</x:v>
      </x:c>
      <x:c r="M171" s="5">
        <x:f t="shared" si="29"/>
        <x:v>0</x:v>
      </x:c>
      <x:c r="N171" s="6"/>
    </x:row>
    <x:row r="172" spans="1:14" s="2" customFormat="1" ht="20.100000000000001" customHeight="1">
      <x:c r="A172" s="299"/>
      <x:c r="B172" s="3"/>
      <x:c r="C172" s="3"/>
      <x:c r="D172" s="4"/>
      <x:c r="E172" s="4"/>
      <x:c r="F172" s="5">
        <x:f t="shared" si="28"/>
        <x:v>0</x:v>
      </x:c>
      <x:c r="G172" s="6"/>
      <x:c r="H172" s="299"/>
      <x:c r="I172" s="3"/>
      <x:c r="J172" s="3"/>
      <x:c r="K172" s="4"/>
      <x:c r="L172" s="4"/>
      <x:c r="M172" s="5">
        <x:f t="shared" si="29"/>
        <x:v>0</x:v>
      </x:c>
      <x:c r="N172" s="6"/>
    </x:row>
    <x:row r="173" spans="1:14" s="2" customFormat="1" ht="20.100000000000001" customHeight="1">
      <x:c r="A173" s="299"/>
      <x:c r="B173" s="3"/>
      <x:c r="C173" s="3"/>
      <x:c r="D173" s="4"/>
      <x:c r="E173" s="4">
        <x:f>+D173*0.1</x:f>
        <x:v>0</x:v>
      </x:c>
      <x:c r="F173" s="5">
        <x:f t="shared" si="28"/>
        <x:v>0</x:v>
      </x:c>
      <x:c r="G173" s="6"/>
      <x:c r="H173" s="299"/>
      <x:c r="I173" s="3"/>
      <x:c r="J173" s="3"/>
      <x:c r="K173" s="4"/>
      <x:c r="L173" s="4">
        <x:f>+K173*0.1</x:f>
        <x:v>0</x:v>
      </x:c>
      <x:c r="M173" s="5">
        <x:f t="shared" si="29"/>
        <x:v>0</x:v>
      </x:c>
      <x:c r="N173" s="6"/>
    </x:row>
    <x:row r="174" spans="1:14" s="2" customFormat="1" ht="20.100000000000001" customHeight="1">
      <x:c r="A174" s="299"/>
      <x:c r="B174" s="3"/>
      <x:c r="C174" s="3"/>
      <x:c r="D174" s="4"/>
      <x:c r="E174" s="4">
        <x:f>+D174*0.1</x:f>
        <x:v>0</x:v>
      </x:c>
      <x:c r="F174" s="5">
        <x:f t="shared" si="28"/>
        <x:v>0</x:v>
      </x:c>
      <x:c r="G174" s="6"/>
      <x:c r="H174" s="299"/>
      <x:c r="I174" s="3"/>
      <x:c r="J174" s="3"/>
      <x:c r="K174" s="4"/>
      <x:c r="L174" s="4">
        <x:f>+K174*0.1</x:f>
        <x:v>0</x:v>
      </x:c>
      <x:c r="M174" s="5">
        <x:f t="shared" si="29"/>
        <x:v>0</x:v>
      </x:c>
      <x:c r="N174" s="6"/>
    </x:row>
    <x:row r="175" spans="1:14" s="2" customFormat="1" ht="20.100000000000001" customHeight="1">
      <x:c r="A175" s="299"/>
      <x:c r="B175" s="3"/>
      <x:c r="C175" s="3"/>
      <x:c r="D175" s="4"/>
      <x:c r="E175" s="4">
        <x:f>+D175*0.1</x:f>
        <x:v>0</x:v>
      </x:c>
      <x:c r="F175" s="5">
        <x:f t="shared" si="28"/>
        <x:v>0</x:v>
      </x:c>
      <x:c r="G175" s="6"/>
      <x:c r="H175" s="299"/>
      <x:c r="I175" s="3"/>
      <x:c r="J175" s="3"/>
      <x:c r="K175" s="4"/>
      <x:c r="L175" s="4">
        <x:f>+K175*0.1</x:f>
        <x:v>0</x:v>
      </x:c>
      <x:c r="M175" s="5">
        <x:f t="shared" si="29"/>
        <x:v>0</x:v>
      </x:c>
      <x:c r="N175" s="6"/>
    </x:row>
    <x:row r="176" spans="1:14" s="2" customFormat="1" ht="20.100000000000001" customHeight="1">
      <x:c r="A176" s="299"/>
      <x:c r="B176" s="3"/>
      <x:c r="C176" s="3"/>
      <x:c r="D176" s="4"/>
      <x:c r="E176" s="4">
        <x:f t="shared" ref="E176:E179" si="30">+D176*0.1</x:f>
        <x:v>0</x:v>
      </x:c>
      <x:c r="F176" s="5">
        <x:f t="shared" si="28"/>
        <x:v>0</x:v>
      </x:c>
      <x:c r="G176" s="6"/>
      <x:c r="H176" s="299"/>
      <x:c r="I176" s="3"/>
      <x:c r="J176" s="3"/>
      <x:c r="K176" s="4"/>
      <x:c r="L176" s="4">
        <x:f t="shared" ref="L176:L179" si="31">+K176*0.1</x:f>
        <x:v>0</x:v>
      </x:c>
      <x:c r="M176" s="5">
        <x:f t="shared" si="29"/>
        <x:v>0</x:v>
      </x:c>
      <x:c r="N176" s="6"/>
    </x:row>
    <x:row r="177" spans="1:14" s="2" customFormat="1" ht="20.100000000000001" customHeight="1">
      <x:c r="A177" s="299"/>
      <x:c r="B177" s="3"/>
      <x:c r="C177" s="3"/>
      <x:c r="D177" s="4"/>
      <x:c r="E177" s="4">
        <x:f t="shared" si="30"/>
        <x:v>0</x:v>
      </x:c>
      <x:c r="F177" s="5">
        <x:f t="shared" si="28"/>
        <x:v>0</x:v>
      </x:c>
      <x:c r="G177" s="6"/>
      <x:c r="H177" s="299"/>
      <x:c r="I177" s="3"/>
      <x:c r="J177" s="3"/>
      <x:c r="K177" s="4"/>
      <x:c r="L177" s="4">
        <x:f t="shared" si="31"/>
        <x:v>0</x:v>
      </x:c>
      <x:c r="M177" s="5">
        <x:f t="shared" si="29"/>
        <x:v>0</x:v>
      </x:c>
      <x:c r="N177" s="6"/>
    </x:row>
    <x:row r="178" spans="1:14" s="2" customFormat="1" ht="20.100000000000001" customHeight="1">
      <x:c r="A178" s="299"/>
      <x:c r="B178" s="3"/>
      <x:c r="C178" s="3"/>
      <x:c r="D178" s="4"/>
      <x:c r="E178" s="4">
        <x:f t="shared" si="30"/>
        <x:v>0</x:v>
      </x:c>
      <x:c r="F178" s="5"/>
      <x:c r="G178" s="6"/>
      <x:c r="H178" s="299"/>
      <x:c r="I178" s="3"/>
      <x:c r="J178" s="3"/>
      <x:c r="K178" s="4"/>
      <x:c r="L178" s="4">
        <x:f t="shared" si="31"/>
        <x:v>0</x:v>
      </x:c>
      <x:c r="M178" s="5"/>
      <x:c r="N178" s="6"/>
    </x:row>
    <x:row r="179" spans="1:14" s="2" customFormat="1" ht="20.100000000000001" customHeight="1">
      <x:c r="A179" s="300"/>
      <x:c r="B179" s="3"/>
      <x:c r="C179" s="3"/>
      <x:c r="D179" s="4"/>
      <x:c r="E179" s="4">
        <x:f t="shared" si="30"/>
        <x:v>0</x:v>
      </x:c>
      <x:c r="F179" s="5">
        <x:f>+D179+E179</x:f>
        <x:v>0</x:v>
      </x:c>
      <x:c r="G179" s="6"/>
      <x:c r="H179" s="300"/>
      <x:c r="I179" s="3"/>
      <x:c r="J179" s="3"/>
      <x:c r="K179" s="4"/>
      <x:c r="L179" s="4">
        <x:f t="shared" si="31"/>
        <x:v>0</x:v>
      </x:c>
      <x:c r="M179" s="5">
        <x:f>+K179+L179</x:f>
        <x:v>0</x:v>
      </x:c>
      <x:c r="N179" s="6"/>
    </x:row>
    <x:row r="180" spans="1:14" s="2" customFormat="1" ht="20.100000000000001" customHeight="1">
      <x:c r="A180" s="7" t="s">
        <x:v>155</x:v>
      </x:c>
      <x:c r="B180" s="8"/>
      <x:c r="C180" s="8"/>
      <x:c r="D180" s="9">
        <x:f>SUM(D170:D179)</x:f>
        <x:v>0</x:v>
      </x:c>
      <x:c r="E180" s="9">
        <x:f>SUM(E170:E179)</x:f>
        <x:v>0</x:v>
      </x:c>
      <x:c r="F180" s="10">
        <x:f>SUM(F170:F179)</x:f>
        <x:v>0</x:v>
      </x:c>
      <x:c r="G180" s="11"/>
      <x:c r="H180" s="7" t="s">
        <x:v>155</x:v>
      </x:c>
      <x:c r="I180" s="8"/>
      <x:c r="J180" s="8"/>
      <x:c r="K180" s="9">
        <x:f>SUM(K170:K179)</x:f>
        <x:v>0</x:v>
      </x:c>
      <x:c r="L180" s="9">
        <x:f>SUM(L170:L179)</x:f>
        <x:v>0</x:v>
      </x:c>
      <x:c r="M180" s="10">
        <x:f>SUM(M170:M179)</x:f>
        <x:v>0</x:v>
      </x:c>
      <x:c r="N180" s="11"/>
    </x:row>
    <x:row r="181" spans="1:14" s="2" customFormat="1" ht="20.100000000000001" customHeight="1">
      <x:c r="A181" s="12" t="s">
        <x:v>1690</x:v>
      </x:c>
      <x:c r="B181" s="13"/>
      <x:c r="C181" s="13"/>
      <x:c r="D181" s="14">
        <x:f>+D159+D164+D169+D180</x:f>
        <x:v>9501640</x:v>
      </x:c>
      <x:c r="E181" s="14">
        <x:f>+E159+E164+E169+E180</x:f>
        <x:v>950164</x:v>
      </x:c>
      <x:c r="F181" s="15">
        <x:f>+F159+F164+F169+F180</x:f>
        <x:v>10451804</x:v>
      </x:c>
      <x:c r="G181" s="16"/>
      <x:c r="H181" s="12" t="s">
        <x:v>1690</x:v>
      </x:c>
      <x:c r="I181" s="13"/>
      <x:c r="J181" s="13"/>
      <x:c r="K181" s="14">
        <x:f>+K159+K164+K169+K180</x:f>
        <x:v>0</x:v>
      </x:c>
      <x:c r="L181" s="14">
        <x:f>+L159+L164+L169+L180</x:f>
        <x:v>0</x:v>
      </x:c>
      <x:c r="M181" s="15">
        <x:f>+M159+M164+M169+M180</x:f>
        <x:v>0</x:v>
      </x:c>
      <x:c r="N181" s="16"/>
    </x:row>
    <x:row r="182" spans="1:14" s="2" customFormat="1" ht="20.100000000000001" customHeight="1">
      <x:c r="A182" s="23" t="s">
        <x:v>35</x:v>
      </x:c>
      <x:c r="B182" s="24"/>
      <x:c r="C182" s="24"/>
      <x:c r="D182" s="25">
        <x:f>+D142-D181</x:f>
        <x:v>-9501640</x:v>
      </x:c>
      <x:c r="E182" s="25">
        <x:f>+E142-E181</x:f>
        <x:v>-950164</x:v>
      </x:c>
      <x:c r="F182" s="26">
        <x:f>+F142-F181</x:f>
        <x:v>-10451804</x:v>
      </x:c>
      <x:c r="G182" s="27"/>
      <x:c r="H182" s="23" t="s">
        <x:v>35</x:v>
      </x:c>
      <x:c r="I182" s="24"/>
      <x:c r="J182" s="24"/>
      <x:c r="K182" s="25">
        <x:f>+K142-K181</x:f>
        <x:v>0</x:v>
      </x:c>
      <x:c r="L182" s="25">
        <x:f>+L142-L181</x:f>
        <x:v>0</x:v>
      </x:c>
      <x:c r="M182" s="26">
        <x:f>+M142-M181</x:f>
        <x:v>0</x:v>
      </x:c>
      <x:c r="N182" s="27"/>
    </x:row>
  </x:sheetData>
  <x:mergeCells count="41">
    <x:mergeCell ref="A160:A163"/>
    <x:mergeCell ref="H160:H163"/>
    <x:mergeCell ref="A165:A168"/>
    <x:mergeCell ref="H165:H168"/>
    <x:mergeCell ref="A170:A179"/>
    <x:mergeCell ref="H170:H179"/>
    <x:mergeCell ref="A127:A136"/>
    <x:mergeCell ref="H127:H136"/>
    <x:mergeCell ref="A140:G140"/>
    <x:mergeCell ref="H140:N140"/>
    <x:mergeCell ref="A143:A158"/>
    <x:mergeCell ref="H143:H158"/>
    <x:mergeCell ref="A100:A115"/>
    <x:mergeCell ref="H100:H115"/>
    <x:mergeCell ref="A117:A120"/>
    <x:mergeCell ref="H117:H120"/>
    <x:mergeCell ref="A122:A125"/>
    <x:mergeCell ref="H122:H125"/>
    <x:mergeCell ref="A74:A79"/>
    <x:mergeCell ref="H74:H79"/>
    <x:mergeCell ref="A81:A93"/>
    <x:mergeCell ref="H81:H93"/>
    <x:mergeCell ref="A97:G97"/>
    <x:mergeCell ref="H97:N97"/>
    <x:mergeCell ref="A48:G48"/>
    <x:mergeCell ref="H48:N48"/>
    <x:mergeCell ref="A51:A67"/>
    <x:mergeCell ref="H51:H67"/>
    <x:mergeCell ref="A69:A72"/>
    <x:mergeCell ref="H69:H72"/>
    <x:mergeCell ref="A21:A26"/>
    <x:mergeCell ref="H21:H26"/>
    <x:mergeCell ref="A28:A30"/>
    <x:mergeCell ref="H28:H30"/>
    <x:mergeCell ref="A32:A44"/>
    <x:mergeCell ref="H32:H44"/>
    <x:mergeCell ref="A1:N1"/>
    <x:mergeCell ref="A2:G2"/>
    <x:mergeCell ref="H2:N2"/>
    <x:mergeCell ref="A5:A19"/>
    <x:mergeCell ref="H5:H19"/>
  </x:mergeCells>
  <x:pageMargins left="0.7086111307144165" right="0.7086111307144165" top="0.39361110329627991" bottom="0.39361110329627991" header="0.31486111879348755" footer="0.31486111879348755"/>
  <x:pageSetup paperSize="9" scale="51" firstPageNumber="1" fitToWidth="1" fitToHeight="1" orientation="landscape" usePrinterDefaults="1" blackAndWhite="0" draft="0" useFirstPageNumber="0" horizontalDpi="600" verticalDpi="600" copies="1"/>
  <x:rowBreaks count="3" manualBreakCount="3">
    <x:brk id="47" min="0" max="1048575" man="1" pt="0"/>
    <x:brk id="96" min="0" max="1048575" man="1" pt="0"/>
    <x:brk id="139" min="0" max="1048575" man="1" pt="0"/>
  </x:rowBreaks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76" baseType="lpstr">
      <vt:lpstr>18년07월</vt:lpstr>
      <vt:lpstr>18년08월</vt:lpstr>
      <vt:lpstr>18년09월</vt:lpstr>
      <vt:lpstr>18년10월</vt:lpstr>
      <vt:lpstr>18년11월</vt:lpstr>
      <vt:lpstr>18년12월</vt:lpstr>
      <vt:lpstr>19년01월</vt:lpstr>
      <vt:lpstr>19년02월</vt:lpstr>
      <vt:lpstr>19년03월</vt:lpstr>
      <vt:lpstr>19년04월</vt:lpstr>
      <vt:lpstr>19년05월</vt:lpstr>
      <vt:lpstr>19년06월</vt:lpstr>
      <vt:lpstr>19년08월(집계표)</vt:lpstr>
      <vt:lpstr>19년08월(세부내역)</vt:lpstr>
      <vt:lpstr>19년09월(집계표)</vt:lpstr>
      <vt:lpstr>19년09월(세부내역)</vt:lpstr>
      <vt:lpstr>19년10월(집계표)</vt:lpstr>
      <vt:lpstr>19년10월(세부내역)</vt:lpstr>
      <vt:lpstr>19년11월(집계표)</vt:lpstr>
      <vt:lpstr>19년11월(세부내역)</vt:lpstr>
      <vt:lpstr>19년12월(집계표)</vt:lpstr>
      <vt:lpstr>19년12월(세부내역)</vt:lpstr>
      <vt:lpstr>20년01월(집계표)</vt:lpstr>
      <vt:lpstr>20년01월(세부내역)</vt:lpstr>
      <vt:lpstr>20년02월(집계표)</vt:lpstr>
      <vt:lpstr>20년02월(세부내역)</vt:lpstr>
      <vt:lpstr>20년03월(집계표)</vt:lpstr>
      <vt:lpstr>20년03월(세부내역)</vt:lpstr>
      <vt:lpstr>20년04월(집계표)</vt:lpstr>
      <vt:lpstr>20년04월(세부내역)</vt:lpstr>
      <vt:lpstr>20년05월(집계표)</vt:lpstr>
      <vt:lpstr>20년05월(세부내역)</vt:lpstr>
      <vt:lpstr>20년06월(집계표)</vt:lpstr>
      <vt:lpstr>20년06월(세부내역)</vt:lpstr>
      <vt:lpstr>20년07월(집계표)</vt:lpstr>
      <vt:lpstr>20년07월(세부내역)</vt:lpstr>
      <vt:lpstr>20년08월(집계표)</vt:lpstr>
      <vt:lpstr>20년08월(세부내역)</vt:lpstr>
      <vt:lpstr>20년09월(집계표)</vt:lpstr>
      <vt:lpstr>20년09월(세부내역)</vt:lpstr>
      <vt:lpstr>20년10월(집계표)</vt:lpstr>
      <vt:lpstr>20년10월(세부내역)</vt:lpstr>
      <vt:lpstr>20년11월(집계표)</vt:lpstr>
      <vt:lpstr>20년11월(세부내역)</vt:lpstr>
      <vt:lpstr>20년12월(집계표)</vt:lpstr>
      <vt:lpstr>20년12월(세부내역)</vt:lpstr>
      <vt:lpstr>21년01월(집계표)</vt:lpstr>
      <vt:lpstr>21년01월(세부내역)</vt:lpstr>
      <vt:lpstr>21년02월(집계표)</vt:lpstr>
      <vt:lpstr>21년02월(세부내역)</vt:lpstr>
      <vt:lpstr>21년03월(집계표)</vt:lpstr>
      <vt:lpstr>21년03월(세부내역)</vt:lpstr>
      <vt:lpstr>21년04월(집계표)</vt:lpstr>
      <vt:lpstr>21년04월(세부내역)</vt:lpstr>
      <vt:lpstr>21년05월(집계표)</vt:lpstr>
      <vt:lpstr>21년05월(세부내역)</vt:lpstr>
      <vt:lpstr>21년06월(집계표)</vt:lpstr>
      <vt:lpstr>21년06월(세부내역)</vt:lpstr>
      <vt:lpstr>21년07월(집계표)</vt:lpstr>
      <vt:lpstr>21년07월(세부내역)</vt:lpstr>
      <vt:lpstr>21년08월(집계표)</vt:lpstr>
      <vt:lpstr>21년08월(세부내역)</vt:lpstr>
      <vt:lpstr>21년09월(집계표)</vt:lpstr>
      <vt:lpstr>21년09월(세부내역)</vt:lpstr>
      <vt:lpstr>21년10월(집계표)</vt:lpstr>
      <vt:lpstr>21년10월(세부내역)</vt:lpstr>
      <vt:lpstr>21년11월(집계표)</vt:lpstr>
      <vt:lpstr>21년11월(세부내역)</vt:lpstr>
      <vt:lpstr>21년11월(집계표-실)</vt:lpstr>
      <vt:lpstr>21년11월(세부내역-실)</vt:lpstr>
      <vt:lpstr>21년12월(집계표-실)</vt:lpstr>
      <vt:lpstr>21년12월(세부내역-실)</vt:lpstr>
      <vt:lpstr>22년01월(집계표)</vt:lpstr>
      <vt:lpstr>22년01월(세부내역)</vt:lpstr>
      <vt:lpstr>22년02월(집계표)</vt:lpstr>
      <vt:lpstr>22년02월(세부내역)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</cp:revision>
  <cp:lastPrinted>2022-03-12T05:57:55.000</cp:lastPrinted>
  <dcterms:created xsi:type="dcterms:W3CDTF">2018-08-01T06:40:15.000</dcterms:created>
  <dcterms:modified xsi:type="dcterms:W3CDTF">2022-03-23T23:52:44.121</dcterms:modified>
  <cp:version>1100.0100.01</cp:version>
</cp:coreProperties>
</file>