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5de0babfb528b7f/Documents/Year 4/CP407/"/>
    </mc:Choice>
  </mc:AlternateContent>
  <xr:revisionPtr revIDLastSave="271" documentId="8_{8BA6D2BB-8F63-42A0-AF71-B2A3FBD8883E}" xr6:coauthVersionLast="47" xr6:coauthVersionMax="47" xr10:uidLastSave="{46596979-0733-4B88-966D-7ECE5B830E20}"/>
  <bookViews>
    <workbookView xWindow="-110" yWindow="-110" windowWidth="19420" windowHeight="10300" xr2:uid="{EA0F0F16-9E19-4CFF-989F-463A68F56A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3" i="1"/>
  <c r="C32" i="1"/>
  <c r="J28" i="1"/>
  <c r="J30" i="1"/>
  <c r="J29" i="1"/>
  <c r="J34" i="1"/>
  <c r="M34" i="1"/>
  <c r="L41" i="1"/>
  <c r="J40" i="1"/>
  <c r="P3" i="1"/>
  <c r="P4" i="1"/>
  <c r="P5" i="1"/>
  <c r="P6" i="1"/>
  <c r="P7" i="1"/>
  <c r="P8" i="1"/>
  <c r="P9" i="1"/>
  <c r="P10" i="1"/>
  <c r="P2" i="1"/>
  <c r="N3" i="1"/>
  <c r="N9" i="1"/>
  <c r="N10" i="1"/>
  <c r="F19" i="1"/>
  <c r="G19" i="1" s="1"/>
  <c r="J27" i="1" s="1"/>
  <c r="E19" i="1"/>
  <c r="M2" i="1"/>
  <c r="N2" i="1" s="1"/>
  <c r="D32" i="1"/>
  <c r="D31" i="1"/>
  <c r="C30" i="1"/>
  <c r="D30" i="1" s="1"/>
  <c r="E16" i="1"/>
  <c r="E17" i="1"/>
  <c r="E20" i="1"/>
  <c r="E21" i="1"/>
  <c r="E22" i="1"/>
  <c r="E23" i="1"/>
  <c r="E15" i="1"/>
  <c r="F16" i="1"/>
  <c r="G16" i="1" s="1"/>
  <c r="F17" i="1"/>
  <c r="F20" i="1"/>
  <c r="F21" i="1"/>
  <c r="G21" i="1" s="1"/>
  <c r="F22" i="1"/>
  <c r="G22" i="1" s="1"/>
  <c r="F23" i="1"/>
  <c r="G23" i="1" s="1"/>
  <c r="F15" i="1"/>
  <c r="M3" i="1"/>
  <c r="G20" i="1"/>
  <c r="G17" i="1"/>
  <c r="G15" i="1"/>
  <c r="D18" i="1"/>
  <c r="D25" i="1" s="1"/>
  <c r="M10" i="1"/>
  <c r="M7" i="1"/>
  <c r="N7" i="1" s="1"/>
  <c r="M6" i="1"/>
  <c r="N6" i="1" s="1"/>
  <c r="M8" i="1"/>
  <c r="N8" i="1" s="1"/>
  <c r="M4" i="1"/>
  <c r="N4" i="1" s="1"/>
  <c r="M5" i="1"/>
  <c r="N5" i="1" s="1"/>
  <c r="F18" i="1" l="1"/>
  <c r="J26" i="1"/>
  <c r="E18" i="1"/>
  <c r="E25" i="1" s="1"/>
  <c r="G18" i="1"/>
  <c r="G25" i="1"/>
  <c r="M11" i="1"/>
  <c r="N11" i="1" s="1"/>
  <c r="N13" i="1" s="1"/>
  <c r="F25" i="1" l="1"/>
</calcChain>
</file>

<file path=xl/sharedStrings.xml><?xml version="1.0" encoding="utf-8"?>
<sst xmlns="http://schemas.openxmlformats.org/spreadsheetml/2006/main" count="100" uniqueCount="85">
  <si>
    <t>Scaling Unit</t>
  </si>
  <si>
    <t>Min Scale</t>
  </si>
  <si>
    <t>Max Scale</t>
  </si>
  <si>
    <t>Min Cost</t>
  </si>
  <si>
    <t>Max Cost</t>
  </si>
  <si>
    <t>Scaling Factor</t>
  </si>
  <si>
    <t>CEPCI</t>
  </si>
  <si>
    <t>Source</t>
  </si>
  <si>
    <t>Deep bed: Gravity filter, (slow sand, rapid sand, dual media, multimedia, deep bed and high rate) including filter structure, underdrains, wash-water troughs, pipes, valves, backwash facilities, filter media, surface wash system, instrumentation, control and housing</t>
  </si>
  <si>
    <t>S-A02</t>
  </si>
  <si>
    <r>
      <t>m</t>
    </r>
    <r>
      <rPr>
        <vertAlign val="superscript"/>
        <sz val="12"/>
        <rFont val="Calibri"/>
        <family val="2"/>
      </rPr>
      <t>2</t>
    </r>
  </si>
  <si>
    <t xml:space="preserve"> $35,988,157 </t>
  </si>
  <si>
    <t>Woods 2007</t>
  </si>
  <si>
    <t>2x</t>
  </si>
  <si>
    <t>Tanks: Tank, open (wash)</t>
  </si>
  <si>
    <t>T-A01&amp;2</t>
  </si>
  <si>
    <t>Volume, gal</t>
  </si>
  <si>
    <t xml:space="preserve"> $33,387 </t>
  </si>
  <si>
    <t>Seider et al. 2016</t>
  </si>
  <si>
    <t>Vessel: Vertical Vessel (purge)</t>
  </si>
  <si>
    <t>V-A01&amp;2</t>
  </si>
  <si>
    <r>
      <t>m</t>
    </r>
    <r>
      <rPr>
        <vertAlign val="superscript"/>
        <sz val="12"/>
        <rFont val="Calibri"/>
        <family val="2"/>
      </rPr>
      <t>3</t>
    </r>
  </si>
  <si>
    <t xml:space="preserve"> $439,533 </t>
  </si>
  <si>
    <t>Capcost 2017</t>
  </si>
  <si>
    <t>Solid-Liquid Separators: Hydroclone</t>
  </si>
  <si>
    <t>D-A01</t>
  </si>
  <si>
    <t>Liquid feed rate, gal/min</t>
  </si>
  <si>
    <t xml:space="preserve"> $9,526 </t>
  </si>
  <si>
    <t>Rotary crusher: c/s, crusher without drive or motor (wet gran)</t>
  </si>
  <si>
    <t>C-A02</t>
  </si>
  <si>
    <t>kW</t>
  </si>
  <si>
    <t xml:space="preserve"> $89,337 </t>
  </si>
  <si>
    <t>Dryer: atmospheric tray batch</t>
  </si>
  <si>
    <t>D-A02&amp;3</t>
  </si>
  <si>
    <r>
      <t>m</t>
    </r>
    <r>
      <rPr>
        <vertAlign val="superscript"/>
        <sz val="12"/>
        <rFont val="Calibri"/>
        <family val="2"/>
      </rPr>
      <t xml:space="preserve">2 </t>
    </r>
    <r>
      <rPr>
        <sz val="12"/>
        <rFont val="Calibri"/>
        <family val="2"/>
      </rPr>
      <t>(area)</t>
    </r>
  </si>
  <si>
    <t xml:space="preserve"> $39,111 </t>
  </si>
  <si>
    <t>Sinnott &amp; Towler 2020</t>
  </si>
  <si>
    <t>Jaw crusher: c/s with drive but excluding motor</t>
  </si>
  <si>
    <t>C-A01</t>
  </si>
  <si>
    <t>Mg/h</t>
  </si>
  <si>
    <t xml:space="preserve"> $208,029 </t>
  </si>
  <si>
    <t>T-A03</t>
  </si>
  <si>
    <t>S-A01</t>
  </si>
  <si>
    <r>
      <t>m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 xml:space="preserve"> (cross-section)</t>
    </r>
  </si>
  <si>
    <t xml:space="preserve"> $163,022 </t>
  </si>
  <si>
    <t xml:space="preserve">cepci </t>
  </si>
  <si>
    <t>cepci ratio</t>
  </si>
  <si>
    <t>Power kW</t>
  </si>
  <si>
    <t>kWh/day</t>
  </si>
  <si>
    <t>kWh /year</t>
  </si>
  <si>
    <t>Cost £/year</t>
  </si>
  <si>
    <t>operation</t>
  </si>
  <si>
    <t>price</t>
  </si>
  <si>
    <t>total</t>
  </si>
  <si>
    <t>leccy price £/kWh =</t>
  </si>
  <si>
    <t>amount m3</t>
  </si>
  <si>
    <t>annual cost £</t>
  </si>
  <si>
    <t>water</t>
  </si>
  <si>
    <t>liquid nitrogen</t>
  </si>
  <si>
    <t>gas nitrogen</t>
  </si>
  <si>
    <t>S-A03</t>
  </si>
  <si>
    <t>self vs external water treatment</t>
  </si>
  <si>
    <t>external</t>
  </si>
  <si>
    <t>price £</t>
  </si>
  <si>
    <t>leccy</t>
  </si>
  <si>
    <t>capital</t>
  </si>
  <si>
    <t>Ro</t>
  </si>
  <si>
    <t>Vo</t>
  </si>
  <si>
    <t>Bo</t>
  </si>
  <si>
    <t>So</t>
  </si>
  <si>
    <t>ot</t>
  </si>
  <si>
    <t>os</t>
  </si>
  <si>
    <t>st</t>
  </si>
  <si>
    <t>ss</t>
  </si>
  <si>
    <t>wiout treat</t>
  </si>
  <si>
    <t>Ra</t>
  </si>
  <si>
    <t>Va</t>
  </si>
  <si>
    <t>Ba</t>
  </si>
  <si>
    <t>Sa</t>
  </si>
  <si>
    <t>payback time</t>
  </si>
  <si>
    <t>sBODl</t>
  </si>
  <si>
    <t>TSSl</t>
  </si>
  <si>
    <t>operating cost</t>
  </si>
  <si>
    <t xml:space="preserve">availability cost </t>
  </si>
  <si>
    <t>sludge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</si>
</sst>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  <numFmt numFmtId="166" formatCode="0.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2"/>
      <name val="Calibri"/>
      <family val="2"/>
    </font>
    <font>
      <sz val="11"/>
      <name val="Aptos Narrow"/>
      <family val="2"/>
      <scheme val="minor"/>
    </font>
    <font>
      <b/>
      <sz val="12"/>
      <name val="Calibri"/>
      <family val="2"/>
    </font>
    <font>
      <vertAlign val="superscript"/>
      <sz val="12"/>
      <name val="Calibri"/>
      <family val="2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" fontId="2" fillId="0" borderId="0" xfId="0" applyNumberFormat="1" applyFont="1"/>
    <xf numFmtId="0" fontId="4" fillId="0" borderId="0" xfId="2"/>
    <xf numFmtId="0" fontId="2" fillId="0" borderId="0" xfId="0" applyFont="1" applyAlignment="1">
      <alignment vertical="top" wrapText="1"/>
    </xf>
    <xf numFmtId="2" fontId="0" fillId="0" borderId="0" xfId="0" applyNumberFormat="1"/>
    <xf numFmtId="4" fontId="5" fillId="0" borderId="0" xfId="0" applyNumberFormat="1" applyFont="1"/>
    <xf numFmtId="164" fontId="2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/>
    <xf numFmtId="164" fontId="5" fillId="0" borderId="0" xfId="0" applyNumberFormat="1" applyFont="1"/>
    <xf numFmtId="0" fontId="9" fillId="0" borderId="0" xfId="2" applyFont="1"/>
    <xf numFmtId="0" fontId="5" fillId="0" borderId="0" xfId="0" applyFont="1" applyAlignment="1">
      <alignment wrapText="1"/>
    </xf>
    <xf numFmtId="2" fontId="6" fillId="0" borderId="0" xfId="0" applyNumberFormat="1" applyFont="1"/>
    <xf numFmtId="164" fontId="5" fillId="0" borderId="0" xfId="1" applyNumberFormat="1" applyFont="1"/>
    <xf numFmtId="164" fontId="6" fillId="0" borderId="0" xfId="1" applyNumberFormat="1" applyFont="1"/>
    <xf numFmtId="165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pdf/10.1002/9783527611119.app4" TargetMode="External"/><Relationship Id="rId3" Type="http://schemas.openxmlformats.org/officeDocument/2006/relationships/hyperlink" Target="https://onlinelibrary.wiley.com/doi/pdf/10.1002/9783527611119.app4" TargetMode="External"/><Relationship Id="rId7" Type="http://schemas.openxmlformats.org/officeDocument/2006/relationships/hyperlink" Target="https://onlinelibrary.wiley.com/doi/pdf/10.1002/9783527611119.app4" TargetMode="External"/><Relationship Id="rId2" Type="http://schemas.openxmlformats.org/officeDocument/2006/relationships/hyperlink" Target="https://richardturton.faculty.wvu.edu/publications/analysis-synthesis-and-design-of-chemical-processes-5th-edition" TargetMode="External"/><Relationship Id="rId1" Type="http://schemas.openxmlformats.org/officeDocument/2006/relationships/hyperlink" Target="https://www.wiley.com/en-us/Product+and+Process+Design+Principles%3A+Synthesis%2C+Analysis+and+Evaluation%2C+4th+Edition-p-9781119282631" TargetMode="External"/><Relationship Id="rId6" Type="http://schemas.openxmlformats.org/officeDocument/2006/relationships/hyperlink" Target="https://onlinelibrary.wiley.com/doi/pdf/10.1002/9783527611119.app4" TargetMode="External"/><Relationship Id="rId5" Type="http://schemas.openxmlformats.org/officeDocument/2006/relationships/hyperlink" Target="https://onlinelibrary.wiley.com/doi/pdf/10.1002/9783527611119.app4" TargetMode="External"/><Relationship Id="rId4" Type="http://schemas.openxmlformats.org/officeDocument/2006/relationships/hyperlink" Target="https://www.wiley.com/en-us/Product+and+Process+Design+Principles%3A+Synthesis%2C+Analysis+and+Evaluation%2C+4th+Edition-p-9781119282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5A8D-6A1B-4633-B920-35D8AA6A00F7}">
  <dimension ref="A1:P42"/>
  <sheetViews>
    <sheetView tabSelected="1" topLeftCell="A19" zoomScale="73" zoomScaleNormal="37" workbookViewId="0">
      <selection activeCell="I32" sqref="I32"/>
    </sheetView>
  </sheetViews>
  <sheetFormatPr defaultRowHeight="14.5" x14ac:dyDescent="0.35"/>
  <cols>
    <col min="2" max="3" width="31.54296875" customWidth="1"/>
    <col min="4" max="4" width="11.54296875" bestFit="1" customWidth="1"/>
    <col min="5" max="5" width="11.54296875" customWidth="1"/>
    <col min="6" max="6" width="11" bestFit="1" customWidth="1"/>
    <col min="7" max="7" width="11.1796875" bestFit="1" customWidth="1"/>
    <col min="8" max="8" width="12.1796875" style="6" bestFit="1" customWidth="1"/>
    <col min="9" max="9" width="13.26953125" bestFit="1" customWidth="1"/>
    <col min="10" max="10" width="13.453125" bestFit="1" customWidth="1"/>
    <col min="11" max="11" width="12.36328125" bestFit="1" customWidth="1"/>
    <col min="12" max="12" width="13.81640625" bestFit="1" customWidth="1"/>
    <col min="13" max="13" width="13.54296875" bestFit="1" customWidth="1"/>
    <col min="14" max="14" width="17.6328125" customWidth="1"/>
    <col min="15" max="15" width="9.54296875" bestFit="1" customWidth="1"/>
  </cols>
  <sheetData>
    <row r="1" spans="1:16" ht="15.5" x14ac:dyDescent="0.35">
      <c r="C1" s="9"/>
      <c r="D1" s="10" t="s">
        <v>0</v>
      </c>
      <c r="E1" s="10"/>
      <c r="F1" s="10" t="s">
        <v>1</v>
      </c>
      <c r="G1" s="10" t="s">
        <v>2</v>
      </c>
      <c r="H1" s="11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9"/>
    </row>
    <row r="2" spans="1:16" ht="139.5" x14ac:dyDescent="0.35">
      <c r="A2" s="1"/>
      <c r="B2" s="5" t="s">
        <v>8</v>
      </c>
      <c r="C2" s="12" t="s">
        <v>60</v>
      </c>
      <c r="D2" s="13" t="s">
        <v>10</v>
      </c>
      <c r="E2" s="13"/>
      <c r="F2" s="13">
        <v>0.1</v>
      </c>
      <c r="G2" s="7">
        <v>2400</v>
      </c>
      <c r="H2" s="14">
        <v>34183</v>
      </c>
      <c r="I2" s="14" t="s">
        <v>11</v>
      </c>
      <c r="J2" s="13">
        <v>0.69</v>
      </c>
      <c r="K2" s="7">
        <v>1000</v>
      </c>
      <c r="L2" s="15" t="s">
        <v>12</v>
      </c>
      <c r="M2" s="18">
        <f>H2*((4/F2)^J2) * (798.8/K2)</f>
        <v>348072.43002025096</v>
      </c>
      <c r="N2" s="20">
        <f>0.77*M2</f>
        <v>268015.77111559326</v>
      </c>
      <c r="O2" s="21">
        <v>34183</v>
      </c>
      <c r="P2">
        <f>0.77*O2</f>
        <v>26320.91</v>
      </c>
    </row>
    <row r="3" spans="1:16" ht="15.5" x14ac:dyDescent="0.35">
      <c r="A3" t="s">
        <v>13</v>
      </c>
      <c r="B3" s="2" t="s">
        <v>14</v>
      </c>
      <c r="C3" s="16" t="s">
        <v>15</v>
      </c>
      <c r="D3" s="16" t="s">
        <v>16</v>
      </c>
      <c r="E3" s="16"/>
      <c r="F3" s="7">
        <v>1000</v>
      </c>
      <c r="G3" s="7">
        <v>30000</v>
      </c>
      <c r="H3" s="14">
        <v>2788</v>
      </c>
      <c r="I3" s="14" t="s">
        <v>17</v>
      </c>
      <c r="J3" s="13">
        <v>0.73</v>
      </c>
      <c r="K3" s="13">
        <v>567</v>
      </c>
      <c r="L3" s="15" t="s">
        <v>18</v>
      </c>
      <c r="M3" s="18">
        <f>2*H3*((1850/F3)^J3) * (798.8/K3)</f>
        <v>12308.726566970257</v>
      </c>
      <c r="N3" s="20">
        <f t="shared" ref="N3:N11" si="0">0.77*M3</f>
        <v>9477.719456567098</v>
      </c>
      <c r="O3" s="21">
        <v>2788</v>
      </c>
      <c r="P3">
        <f t="shared" ref="P3:P10" si="1">0.77*O3</f>
        <v>2146.7600000000002</v>
      </c>
    </row>
    <row r="4" spans="1:16" ht="17.5" x14ac:dyDescent="0.35">
      <c r="A4" t="s">
        <v>13</v>
      </c>
      <c r="B4" s="1" t="s">
        <v>19</v>
      </c>
      <c r="C4" s="13" t="s">
        <v>20</v>
      </c>
      <c r="D4" s="13" t="s">
        <v>21</v>
      </c>
      <c r="E4" s="13"/>
      <c r="F4" s="13">
        <v>0.3</v>
      </c>
      <c r="G4" s="13">
        <v>520</v>
      </c>
      <c r="H4" s="14">
        <v>2676</v>
      </c>
      <c r="I4" s="14" t="s">
        <v>22</v>
      </c>
      <c r="J4" s="13">
        <v>0.68</v>
      </c>
      <c r="K4" s="13">
        <v>542</v>
      </c>
      <c r="L4" s="15" t="s">
        <v>23</v>
      </c>
      <c r="M4" s="18">
        <f>2*H4*((11.84/F4)^J4) * (798.8/K4)</f>
        <v>96026.605903608986</v>
      </c>
      <c r="N4" s="20">
        <f t="shared" si="0"/>
        <v>73940.486545778927</v>
      </c>
      <c r="O4" s="21">
        <v>2676</v>
      </c>
      <c r="P4">
        <f t="shared" si="1"/>
        <v>2060.52</v>
      </c>
    </row>
    <row r="5" spans="1:16" ht="46.5" x14ac:dyDescent="0.35">
      <c r="B5" s="2" t="s">
        <v>24</v>
      </c>
      <c r="C5" s="16" t="s">
        <v>25</v>
      </c>
      <c r="D5" s="16" t="s">
        <v>26</v>
      </c>
      <c r="E5" s="16"/>
      <c r="F5" s="13">
        <v>8</v>
      </c>
      <c r="G5" s="7">
        <v>1200</v>
      </c>
      <c r="H5" s="14">
        <v>778</v>
      </c>
      <c r="I5" s="14" t="s">
        <v>27</v>
      </c>
      <c r="J5" s="13">
        <v>0.5</v>
      </c>
      <c r="K5" s="13">
        <v>567</v>
      </c>
      <c r="L5" s="15" t="s">
        <v>18</v>
      </c>
      <c r="M5" s="18">
        <f>2*H5*((206/F5)^J5) * (798.8/K5)</f>
        <v>11123.800890561246</v>
      </c>
      <c r="N5" s="20">
        <f t="shared" si="0"/>
        <v>8565.3266857321596</v>
      </c>
      <c r="O5" s="21">
        <v>778</v>
      </c>
      <c r="P5">
        <f t="shared" si="1"/>
        <v>599.06000000000006</v>
      </c>
    </row>
    <row r="6" spans="1:16" ht="31" x14ac:dyDescent="0.35">
      <c r="B6" s="2" t="s">
        <v>28</v>
      </c>
      <c r="C6" s="16" t="s">
        <v>29</v>
      </c>
      <c r="D6" s="13" t="s">
        <v>30</v>
      </c>
      <c r="E6" s="13"/>
      <c r="F6" s="13">
        <v>1</v>
      </c>
      <c r="G6" s="13">
        <v>100</v>
      </c>
      <c r="H6" s="14">
        <v>4477</v>
      </c>
      <c r="I6" s="14" t="s">
        <v>31</v>
      </c>
      <c r="J6" s="13">
        <v>0.65</v>
      </c>
      <c r="K6" s="7">
        <v>1000</v>
      </c>
      <c r="L6" s="15" t="s">
        <v>12</v>
      </c>
      <c r="M6" s="18">
        <f>H6*((90/F6)^J6) * (798.8/K6)</f>
        <v>66631.989665376561</v>
      </c>
      <c r="N6" s="20">
        <f t="shared" si="0"/>
        <v>51306.632042339952</v>
      </c>
      <c r="O6" s="21">
        <v>4477</v>
      </c>
      <c r="P6">
        <f t="shared" si="1"/>
        <v>3447.29</v>
      </c>
    </row>
    <row r="7" spans="1:16" ht="17.5" x14ac:dyDescent="0.35">
      <c r="A7" t="s">
        <v>13</v>
      </c>
      <c r="B7" s="1" t="s">
        <v>32</v>
      </c>
      <c r="C7" s="16" t="s">
        <v>33</v>
      </c>
      <c r="D7" s="13" t="s">
        <v>34</v>
      </c>
      <c r="E7" s="13"/>
      <c r="F7" s="13">
        <v>3</v>
      </c>
      <c r="G7" s="13">
        <v>20</v>
      </c>
      <c r="H7" s="14">
        <v>20478</v>
      </c>
      <c r="I7" s="14" t="s">
        <v>35</v>
      </c>
      <c r="J7" s="13">
        <v>0.34</v>
      </c>
      <c r="K7" s="13">
        <v>509.7</v>
      </c>
      <c r="L7" s="15" t="s">
        <v>36</v>
      </c>
      <c r="M7" s="18">
        <f>2*H7*((90/F7)^J7) * (798.8/K7)</f>
        <v>204015.03939949098</v>
      </c>
      <c r="N7" s="20">
        <f t="shared" si="0"/>
        <v>157091.58033760806</v>
      </c>
      <c r="O7" s="21">
        <v>20478</v>
      </c>
      <c r="P7">
        <f t="shared" si="1"/>
        <v>15768.06</v>
      </c>
    </row>
    <row r="8" spans="1:16" ht="31" x14ac:dyDescent="0.35">
      <c r="B8" s="2" t="s">
        <v>37</v>
      </c>
      <c r="C8" s="16" t="s">
        <v>38</v>
      </c>
      <c r="D8" s="13" t="s">
        <v>39</v>
      </c>
      <c r="E8" s="13"/>
      <c r="F8" s="13">
        <v>0.5</v>
      </c>
      <c r="G8" s="13">
        <v>30</v>
      </c>
      <c r="H8" s="14">
        <v>19355</v>
      </c>
      <c r="I8" s="14" t="s">
        <v>40</v>
      </c>
      <c r="J8" s="13">
        <v>0.57999999999999996</v>
      </c>
      <c r="K8" s="7">
        <v>1000</v>
      </c>
      <c r="L8" s="15" t="s">
        <v>12</v>
      </c>
      <c r="M8" s="18">
        <f>2*H8*((2.3/F8)^J8) * (798.8/K8)</f>
        <v>74930.869103123434</v>
      </c>
      <c r="N8" s="20">
        <f t="shared" si="0"/>
        <v>57696.769209405044</v>
      </c>
      <c r="O8" s="21">
        <v>19355</v>
      </c>
      <c r="P8">
        <f t="shared" si="1"/>
        <v>14903.35</v>
      </c>
    </row>
    <row r="9" spans="1:16" ht="15.5" x14ac:dyDescent="0.35">
      <c r="C9" s="16" t="s">
        <v>42</v>
      </c>
      <c r="D9" s="9"/>
      <c r="E9" s="9"/>
      <c r="F9" s="9"/>
      <c r="G9" s="9"/>
      <c r="H9" s="17"/>
      <c r="I9" s="9"/>
      <c r="J9" s="9"/>
      <c r="K9" s="9"/>
      <c r="L9" s="9"/>
      <c r="M9" s="19">
        <v>80000</v>
      </c>
      <c r="N9" s="20">
        <f t="shared" si="0"/>
        <v>61600</v>
      </c>
      <c r="O9" s="17"/>
      <c r="P9">
        <f t="shared" si="1"/>
        <v>0</v>
      </c>
    </row>
    <row r="10" spans="1:16" ht="17.5" x14ac:dyDescent="0.35">
      <c r="B10" s="2"/>
      <c r="C10" s="16" t="s">
        <v>9</v>
      </c>
      <c r="D10" s="1" t="s">
        <v>43</v>
      </c>
      <c r="E10" s="1"/>
      <c r="F10" s="1">
        <v>60</v>
      </c>
      <c r="G10" s="1">
        <v>500</v>
      </c>
      <c r="H10" s="8">
        <v>57683</v>
      </c>
      <c r="I10" s="1" t="s">
        <v>44</v>
      </c>
      <c r="J10" s="1">
        <v>0.49</v>
      </c>
      <c r="K10" s="3">
        <v>1000</v>
      </c>
      <c r="L10" s="4" t="s">
        <v>12</v>
      </c>
      <c r="M10" s="8">
        <f>H10*((60/F10)^J10) * (798.8/K10)</f>
        <v>46077.180399999997</v>
      </c>
      <c r="N10" s="20">
        <f t="shared" si="0"/>
        <v>35479.428908000002</v>
      </c>
      <c r="O10" s="22">
        <v>57683</v>
      </c>
      <c r="P10">
        <f t="shared" si="1"/>
        <v>44415.91</v>
      </c>
    </row>
    <row r="11" spans="1:16" x14ac:dyDescent="0.35">
      <c r="A11" t="s">
        <v>45</v>
      </c>
      <c r="B11">
        <v>798.8</v>
      </c>
      <c r="C11" s="9"/>
      <c r="D11" s="9"/>
      <c r="E11" s="9"/>
      <c r="F11" s="9"/>
      <c r="G11" s="9"/>
      <c r="H11" s="17"/>
      <c r="I11" s="9"/>
      <c r="J11" s="9"/>
      <c r="K11" s="9"/>
      <c r="L11" s="9"/>
      <c r="M11" s="19">
        <f>SUM(M2:M10)</f>
        <v>939186.64194938238</v>
      </c>
      <c r="N11" s="20">
        <f t="shared" si="0"/>
        <v>723173.71430102445</v>
      </c>
    </row>
    <row r="12" spans="1:16" x14ac:dyDescent="0.35">
      <c r="B12" t="s">
        <v>46</v>
      </c>
    </row>
    <row r="13" spans="1:16" x14ac:dyDescent="0.35">
      <c r="N13" s="20">
        <f>3.1*N11*0.813</f>
        <v>1822614.712152872</v>
      </c>
    </row>
    <row r="14" spans="1:16" x14ac:dyDescent="0.35">
      <c r="D14" t="s">
        <v>47</v>
      </c>
      <c r="E14" t="s">
        <v>48</v>
      </c>
      <c r="F14" t="s">
        <v>49</v>
      </c>
      <c r="G14" t="s">
        <v>50</v>
      </c>
    </row>
    <row r="15" spans="1:16" ht="15.5" x14ac:dyDescent="0.35">
      <c r="B15" t="s">
        <v>51</v>
      </c>
      <c r="C15" s="16" t="s">
        <v>38</v>
      </c>
      <c r="D15">
        <v>110</v>
      </c>
      <c r="E15">
        <f>D15*24</f>
        <v>2640</v>
      </c>
      <c r="F15">
        <f>D15*353*24</f>
        <v>931920</v>
      </c>
      <c r="G15" s="6">
        <f>$C$26*F15</f>
        <v>253482.24000000002</v>
      </c>
    </row>
    <row r="16" spans="1:16" ht="15.5" x14ac:dyDescent="0.35">
      <c r="C16" s="16" t="s">
        <v>29</v>
      </c>
      <c r="D16">
        <v>90</v>
      </c>
      <c r="E16">
        <f t="shared" ref="E16:E23" si="2">D16*24</f>
        <v>2160</v>
      </c>
      <c r="F16">
        <f t="shared" ref="F16:F23" si="3">D16*353*24</f>
        <v>762480</v>
      </c>
      <c r="G16" s="6">
        <f>$C$26*F16</f>
        <v>207394.56000000003</v>
      </c>
    </row>
    <row r="17" spans="2:10" ht="15.5" x14ac:dyDescent="0.35">
      <c r="C17" s="16" t="s">
        <v>25</v>
      </c>
      <c r="D17">
        <v>4</v>
      </c>
      <c r="E17">
        <f t="shared" si="2"/>
        <v>96</v>
      </c>
      <c r="F17">
        <f t="shared" si="3"/>
        <v>33888</v>
      </c>
      <c r="G17" s="6">
        <f>$C$26*F17</f>
        <v>9217.5360000000001</v>
      </c>
    </row>
    <row r="18" spans="2:10" ht="15.5" x14ac:dyDescent="0.35">
      <c r="C18" s="16" t="s">
        <v>33</v>
      </c>
      <c r="D18">
        <f>269*2</f>
        <v>538</v>
      </c>
      <c r="E18">
        <f t="shared" si="2"/>
        <v>12912</v>
      </c>
      <c r="F18">
        <f t="shared" si="3"/>
        <v>4557936</v>
      </c>
      <c r="G18" s="6">
        <f>$C$26*F18</f>
        <v>1239758.5920000002</v>
      </c>
    </row>
    <row r="19" spans="2:10" ht="15.5" x14ac:dyDescent="0.35">
      <c r="C19" s="16" t="s">
        <v>42</v>
      </c>
      <c r="D19">
        <v>22</v>
      </c>
      <c r="E19">
        <f t="shared" si="2"/>
        <v>528</v>
      </c>
      <c r="F19">
        <f t="shared" si="3"/>
        <v>186384</v>
      </c>
      <c r="G19" s="6">
        <f>$C$26*F19</f>
        <v>50696.448000000004</v>
      </c>
    </row>
    <row r="20" spans="2:10" ht="15.5" x14ac:dyDescent="0.35">
      <c r="C20" s="12" t="s">
        <v>9</v>
      </c>
      <c r="D20">
        <v>2</v>
      </c>
      <c r="E20">
        <f t="shared" si="2"/>
        <v>48</v>
      </c>
      <c r="F20">
        <f t="shared" si="3"/>
        <v>16944</v>
      </c>
      <c r="G20" s="6">
        <f t="shared" ref="G20:G23" si="4">$C$26*F20</f>
        <v>4608.768</v>
      </c>
    </row>
    <row r="21" spans="2:10" ht="15.5" x14ac:dyDescent="0.35">
      <c r="C21" s="16" t="s">
        <v>15</v>
      </c>
      <c r="E21">
        <f t="shared" si="2"/>
        <v>0</v>
      </c>
      <c r="F21">
        <f t="shared" si="3"/>
        <v>0</v>
      </c>
      <c r="G21" s="6">
        <f t="shared" si="4"/>
        <v>0</v>
      </c>
    </row>
    <row r="22" spans="2:10" ht="15.5" x14ac:dyDescent="0.35">
      <c r="C22" s="16" t="s">
        <v>41</v>
      </c>
      <c r="E22">
        <f t="shared" si="2"/>
        <v>0</v>
      </c>
      <c r="F22">
        <f t="shared" si="3"/>
        <v>0</v>
      </c>
      <c r="G22" s="6">
        <f t="shared" si="4"/>
        <v>0</v>
      </c>
    </row>
    <row r="23" spans="2:10" ht="15.5" x14ac:dyDescent="0.35">
      <c r="C23" s="13" t="s">
        <v>20</v>
      </c>
      <c r="E23">
        <f t="shared" si="2"/>
        <v>0</v>
      </c>
      <c r="F23">
        <f t="shared" si="3"/>
        <v>0</v>
      </c>
      <c r="G23" s="6">
        <f t="shared" si="4"/>
        <v>0</v>
      </c>
    </row>
    <row r="24" spans="2:10" ht="15.5" x14ac:dyDescent="0.35">
      <c r="C24" s="16"/>
      <c r="G24" s="6"/>
      <c r="I24" t="s">
        <v>61</v>
      </c>
    </row>
    <row r="25" spans="2:10" x14ac:dyDescent="0.35">
      <c r="B25" t="s">
        <v>52</v>
      </c>
      <c r="C25" t="s">
        <v>53</v>
      </c>
      <c r="D25">
        <f>SUM(D15:D23)</f>
        <v>766</v>
      </c>
      <c r="E25">
        <f>SUM(E15:E23)</f>
        <v>18384</v>
      </c>
      <c r="F25">
        <f>SUM(F15:F23)</f>
        <v>6489552</v>
      </c>
      <c r="G25" s="6">
        <f>SUM(G15:G23)</f>
        <v>1765158.1440000003</v>
      </c>
      <c r="J25" t="s">
        <v>63</v>
      </c>
    </row>
    <row r="26" spans="2:10" x14ac:dyDescent="0.35">
      <c r="B26" t="s">
        <v>54</v>
      </c>
      <c r="C26">
        <v>0.27200000000000002</v>
      </c>
      <c r="I26" t="s">
        <v>62</v>
      </c>
      <c r="J26" s="24">
        <f>M34+J34</f>
        <v>144132.03010285716</v>
      </c>
    </row>
    <row r="27" spans="2:10" x14ac:dyDescent="0.35">
      <c r="I27" t="s">
        <v>64</v>
      </c>
      <c r="J27" s="6">
        <f>G19+G20</f>
        <v>55305.216</v>
      </c>
    </row>
    <row r="28" spans="2:10" x14ac:dyDescent="0.35">
      <c r="I28" t="s">
        <v>65</v>
      </c>
      <c r="J28" s="20">
        <f>N2*2+N9+N10</f>
        <v>633110.97113918653</v>
      </c>
    </row>
    <row r="29" spans="2:10" x14ac:dyDescent="0.35">
      <c r="C29" t="s">
        <v>55</v>
      </c>
      <c r="D29" t="s">
        <v>56</v>
      </c>
      <c r="I29" t="s">
        <v>84</v>
      </c>
      <c r="J29" s="6">
        <f>C30*(L38*L41/L42)</f>
        <v>840.25296000000014</v>
      </c>
    </row>
    <row r="30" spans="2:10" x14ac:dyDescent="0.35">
      <c r="B30" t="s">
        <v>57</v>
      </c>
      <c r="C30" s="6">
        <f>5*24*353</f>
        <v>42360</v>
      </c>
      <c r="D30" s="6">
        <f>0.8952*C30</f>
        <v>37920.671999999999</v>
      </c>
      <c r="I30" t="s">
        <v>79</v>
      </c>
      <c r="J30" s="6">
        <f>J28/(J26-J27-J29)</f>
        <v>7.195541715867857</v>
      </c>
    </row>
    <row r="31" spans="2:10" x14ac:dyDescent="0.35">
      <c r="B31" t="s">
        <v>58</v>
      </c>
      <c r="C31" s="6">
        <f>417.73*353/1000</f>
        <v>147.45868999999999</v>
      </c>
      <c r="D31" s="6">
        <f>C31*1000</f>
        <v>147458.69</v>
      </c>
    </row>
    <row r="32" spans="2:10" x14ac:dyDescent="0.35">
      <c r="B32" t="s">
        <v>59</v>
      </c>
      <c r="C32" s="6">
        <f>270.55*353</f>
        <v>95504.150000000009</v>
      </c>
      <c r="D32" s="6">
        <f>6.696*C32</f>
        <v>639495.78840000008</v>
      </c>
      <c r="I32" t="s">
        <v>74</v>
      </c>
    </row>
    <row r="33" spans="3:13" x14ac:dyDescent="0.35">
      <c r="C33" t="s">
        <v>53</v>
      </c>
      <c r="D33" s="6">
        <f>D30+D31+G25</f>
        <v>1950537.5060000003</v>
      </c>
    </row>
    <row r="34" spans="3:13" x14ac:dyDescent="0.35">
      <c r="I34" t="s">
        <v>83</v>
      </c>
      <c r="J34" s="6">
        <f>((120*(J35+J36))+J37*J39+J38*J40)*353</f>
        <v>82102.152000000016</v>
      </c>
      <c r="K34" t="s">
        <v>82</v>
      </c>
      <c r="M34" s="6">
        <f>C30*(L35+L36+(L37*L39/L40)+(L38*L41/L42))</f>
        <v>62029.878102857139</v>
      </c>
    </row>
    <row r="35" spans="3:13" x14ac:dyDescent="0.35">
      <c r="I35" t="s">
        <v>75</v>
      </c>
      <c r="J35">
        <v>0.13200000000000001</v>
      </c>
      <c r="K35" t="s">
        <v>66</v>
      </c>
      <c r="L35">
        <v>0.21299999999999999</v>
      </c>
    </row>
    <row r="36" spans="3:13" x14ac:dyDescent="0.35">
      <c r="I36" t="s">
        <v>76</v>
      </c>
      <c r="J36">
        <v>8.7999999999999995E-2</v>
      </c>
      <c r="K36" t="s">
        <v>67</v>
      </c>
      <c r="L36">
        <v>0.14199999999999999</v>
      </c>
    </row>
    <row r="37" spans="3:13" x14ac:dyDescent="0.35">
      <c r="I37" t="s">
        <v>77</v>
      </c>
      <c r="J37">
        <v>0.33600000000000002</v>
      </c>
      <c r="K37" t="s">
        <v>68</v>
      </c>
      <c r="L37">
        <v>0.19</v>
      </c>
    </row>
    <row r="38" spans="3:13" x14ac:dyDescent="0.35">
      <c r="I38" t="s">
        <v>78</v>
      </c>
      <c r="J38">
        <v>0.28799999999999998</v>
      </c>
      <c r="K38" t="s">
        <v>69</v>
      </c>
      <c r="L38">
        <v>0.11600000000000001</v>
      </c>
    </row>
    <row r="39" spans="3:13" x14ac:dyDescent="0.35">
      <c r="I39" t="s">
        <v>80</v>
      </c>
      <c r="J39">
        <v>577</v>
      </c>
      <c r="K39" t="s">
        <v>70</v>
      </c>
      <c r="L39">
        <v>2007</v>
      </c>
    </row>
    <row r="40" spans="3:13" x14ac:dyDescent="0.35">
      <c r="I40" t="s">
        <v>81</v>
      </c>
      <c r="J40" s="23">
        <f>5.13*1000000/120000</f>
        <v>42.75</v>
      </c>
      <c r="K40" t="s">
        <v>71</v>
      </c>
      <c r="L40">
        <v>350</v>
      </c>
    </row>
    <row r="41" spans="3:13" x14ac:dyDescent="0.35">
      <c r="K41" t="s">
        <v>72</v>
      </c>
      <c r="L41" s="23">
        <f>5.13*1000000/120000</f>
        <v>42.75</v>
      </c>
    </row>
    <row r="42" spans="3:13" x14ac:dyDescent="0.35">
      <c r="K42" t="s">
        <v>73</v>
      </c>
      <c r="L42">
        <v>250</v>
      </c>
    </row>
  </sheetData>
  <sortState xmlns:xlrd2="http://schemas.microsoft.com/office/spreadsheetml/2017/richdata2" ref="C16:C23">
    <sortCondition ref="C15:C23"/>
  </sortState>
  <hyperlinks>
    <hyperlink ref="L3" r:id="rId1" display="https://www.wiley.com/en-us/Product+and+Process+Design+Principles%3A+Synthesis%2C+Analysis+and+Evaluation%2C+4th+Edition-p-9781119282631" xr:uid="{D929EC65-E48C-47CD-ACE9-5D947C639149}"/>
    <hyperlink ref="L4" r:id="rId2" display="https://richardturton.faculty.wvu.edu/publications/analysis-synthesis-and-design-of-chemical-processes-5th-edition" xr:uid="{956DF2A0-D5FD-4B70-8567-DF5C42A9F2B1}"/>
    <hyperlink ref="L6" r:id="rId3" display="https://onlinelibrary.wiley.com/doi/pdf/10.1002/9783527611119.app4" xr:uid="{C7B6F9B8-2D1E-49DC-9114-BAA3743AA326}"/>
    <hyperlink ref="L5" r:id="rId4" display="https://www.wiley.com/en-us/Product+and+Process+Design+Principles%3A+Synthesis%2C+Analysis+and+Evaluation%2C+4th+Edition-p-9781119282631" xr:uid="{2E4D4A8B-4D17-4539-9F4F-9A2426F00439}"/>
    <hyperlink ref="L2" r:id="rId5" display="https://onlinelibrary.wiley.com/doi/pdf/10.1002/9783527611119.app4" xr:uid="{53CA4D50-AD65-4BAE-B9F2-4B725F03146B}"/>
    <hyperlink ref="L8" r:id="rId6" display="https://onlinelibrary.wiley.com/doi/pdf/10.1002/9783527611119.app4" xr:uid="{ED504E3B-500A-4E42-88CB-B05B289B0392}"/>
    <hyperlink ref="L7" r:id="rId7" display="https://onlinelibrary.wiley.com/doi/pdf/10.1002/9783527611119.app4" xr:uid="{7514107F-6307-4CD0-BBA4-18BEC55B2DCB}"/>
    <hyperlink ref="L10" r:id="rId8" display="https://onlinelibrary.wiley.com/doi/pdf/10.1002/9783527611119.app4" xr:uid="{91543C43-31D6-4FD9-8140-AF39930B6B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Rigby (Student)</dc:creator>
  <cp:keywords/>
  <dc:description/>
  <cp:lastModifiedBy>Thomas Rigby</cp:lastModifiedBy>
  <cp:revision/>
  <dcterms:created xsi:type="dcterms:W3CDTF">2025-03-26T18:28:54Z</dcterms:created>
  <dcterms:modified xsi:type="dcterms:W3CDTF">2025-04-04T12:01:38Z</dcterms:modified>
  <cp:category/>
  <cp:contentStatus/>
</cp:coreProperties>
</file>