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ycho\Nextcloud\cegep\2021_session_6_Hiver\Synthèse\B65_ver-informatique\Sprint2\"/>
    </mc:Choice>
  </mc:AlternateContent>
  <xr:revisionPtr revIDLastSave="0" documentId="13_ncr:1_{9608F34C-8038-462D-BBFC-120FD35558DD}" xr6:coauthVersionLast="46" xr6:coauthVersionMax="46" xr10:uidLastSave="{00000000-0000-0000-0000-000000000000}"/>
  <bookViews>
    <workbookView xWindow="1785" yWindow="1515" windowWidth="28800" windowHeight="15435" tabRatio="494" activeTab="2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D19" i="6"/>
  <c r="C19" i="6"/>
  <c r="P19" i="6" s="1"/>
  <c r="D18" i="6"/>
  <c r="C18" i="6"/>
  <c r="D17" i="6"/>
  <c r="C17" i="6"/>
  <c r="P17" i="6" s="1"/>
  <c r="D16" i="6"/>
  <c r="C16" i="6"/>
  <c r="D15" i="6"/>
  <c r="C15" i="6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16" i="6" l="1"/>
  <c r="P15" i="6"/>
  <c r="M15" i="6" s="1"/>
  <c r="V11" i="3"/>
  <c r="V13" i="3" s="1"/>
  <c r="W13" i="3" s="1"/>
  <c r="P20" i="6"/>
  <c r="P18" i="6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19" i="6"/>
  <c r="N19" i="6"/>
  <c r="M16" i="6"/>
  <c r="N16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15" i="6" l="1"/>
  <c r="N10" i="3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B12" i="2"/>
  <c r="L45" i="1"/>
  <c r="B11" i="2"/>
  <c r="K44" i="2"/>
  <c r="B13" i="1" l="1"/>
  <c r="B14" i="6" s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L11" i="4" s="1"/>
  <c r="C11" i="4" s="1"/>
  <c r="Q9" i="2"/>
  <c r="R9" i="2" s="1"/>
  <c r="Q8" i="2"/>
  <c r="R8" i="2" s="1"/>
  <c r="Q10" i="2"/>
  <c r="R10" i="2" s="1"/>
  <c r="U15" i="2" l="1"/>
  <c r="G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<sst xmlns="http://schemas.openxmlformats.org/spreadsheetml/2006/main" count="170" uniqueCount="89">
  <si>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</si>
  <si>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</si>
  <si>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</si>
  <si>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</si>
  <si>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</si>
  <si>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</si>
  <si>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</si>
  <si>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</si>
  <si>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</si>
  <si>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</si>
  <si>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</si>
  <si>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</si>
  <si>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</si>
  <si>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</si>
  <si>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</si>
  <si>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</si>
  <si>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</si>
  <si>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</si>
  <si>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</si>
  <si>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</si>
  <si>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</si>
  <si>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</si>
  <si>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</si>
  <si>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</si>
  <si>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</si>
  <si>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</si>
  <si>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</si>
  <si>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</si>
  <si>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</si>
  <si>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</si>
  <si>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</si>
  <si>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</si>
  <si>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</si>
  <si>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</si>
  <si>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</si>
  <si>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</si>
  <si>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</si>
  <si>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</si>
  <si>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</si>
  <si>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</si>
  <si>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</si>
  <si>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</si>
  <si>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</si>
  <si>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</si>
  <si>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</si>
  <si>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</si>
  <si>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</si>
  <si>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</si>
  <si>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</si>
  <si>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</si>
  <si>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</si>
  <si>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</si>
  <si>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</si>
  <si>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</si>
  <si>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</si>
  <si>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</si>
  <si>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</si>
  <si>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</si>
  <si>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</si>
  <si>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</si>
  <si>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</si>
  <si>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</si>
  <si>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</si>
  <si>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</si>
  <si>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</si>
  <si>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</si>
  <si>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</si>
  <si>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</si>
  <si>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</si>
  <si>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</si>
  <si>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</si>
  <si>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</si>
  <si>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</si>
  <si>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</si>
  <si>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Vers informatique</t>
  </si>
  <si>
    <t>Karl Boulais</t>
  </si>
  <si>
    <t>Déployer des machines virtuelles à l'aide de Ansible dans proxmox</t>
  </si>
  <si>
    <t>Transmettre un «payload» à un serveur et l'exécuter</t>
  </si>
  <si>
    <t>Multiplication du programme</t>
  </si>
  <si>
    <t>Persistance (démarrer un service sur un port)</t>
  </si>
  <si>
    <t>Tester le fonctionnement de la vulnérabilité sur windows server</t>
  </si>
  <si>
    <t>Installer une machine virtuelle windows server</t>
  </si>
  <si>
    <t>Centre de commande écoute les requêtes</t>
  </si>
  <si>
    <t>Communiquer avec le centre de commande</t>
  </si>
  <si>
    <t>Déployé une base de donnée sql lite sur le centre de commande</t>
  </si>
  <si>
    <t>Montrer la base de donnée en ligne de commande</t>
  </si>
  <si>
    <t>Développer un gui pour le centre de commande à l'aide de Qt</t>
  </si>
  <si>
    <t>Intégrer le module d'exploitation de la vulnérabilité en python</t>
  </si>
  <si>
    <t>Problème de mise en place -&gt; rectifier sous 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</si>
</sst>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locked="0"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9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43.75</c:v>
                </c:pt>
                <c:pt idx="2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6.75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4" zoomScale="145" zoomScaleNormal="145" workbookViewId="0">
      <selection activeCell="C15" sqref="C15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0</v>
      </c>
      <c r="C3" s="26"/>
      <c r="D3" s="27" t="s">
        <v>1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16 tâches ont été définies totalisant 65 heures et 45 minutes de travail estimé.</v>
      </c>
    </row>
    <row r="6" spans="2:31" ht="7.5" customHeight="1" thickBot="1" x14ac:dyDescent="0.3"/>
    <row r="7" spans="2:31" ht="1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16</v>
      </c>
      <c r="V8" s="3" t="s">
        <v>12</v>
      </c>
      <c r="W8" s="3">
        <v>1</v>
      </c>
      <c r="X8" s="8">
        <v>0</v>
      </c>
      <c r="Y8" s="8">
        <f>MAX(G8:G42)</f>
        <v>0.83333333333334902</v>
      </c>
      <c r="Z8" s="3" t="s">
        <v>13</v>
      </c>
      <c r="AA8" s="3">
        <v>1</v>
      </c>
      <c r="AB8" s="22">
        <v>0</v>
      </c>
      <c r="AC8" s="4">
        <f>COUNTA(C8:C43)</f>
        <v>16</v>
      </c>
      <c r="AD8" s="9">
        <f>SUM(G8:G43)</f>
        <v>2.7395833333333517</v>
      </c>
    </row>
    <row r="9" spans="2:31" x14ac:dyDescent="0.25">
      <c r="B9" s="45">
        <f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2.7395833333333517</v>
      </c>
    </row>
    <row r="10" spans="2:31" x14ac:dyDescent="0.25">
      <c r="B10" s="44">
        <f>IF(LEN(C10)&lt;&gt;0,IF(OR(LEN(B9)=0,B9="^"),"^",B9+1),"")</f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65</v>
      </c>
    </row>
    <row r="11" spans="2:31" x14ac:dyDescent="0.25">
      <c r="B11" s="45">
        <f>IF(LEN(C11)&lt;&gt;0,IF(OR(LEN(B10)=0,B10="^"),"^",B10+1),"")</f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45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81</v>
      </c>
      <c r="D12" s="19">
        <v>4</v>
      </c>
      <c r="E12" s="18" t="s">
        <v>12</v>
      </c>
      <c r="F12" s="18">
        <v>1</v>
      </c>
      <c r="G12" s="32">
        <v>1.0416666666666666E-2</v>
      </c>
      <c r="H12" s="42" t="s">
        <v>18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16</v>
      </c>
      <c r="AE12" s="4" t="str">
        <f>AD12 &amp; " " &amp; AC12 &amp; IF(AD12 &gt; 1, "s ont été définies", " a été définie")</f>
        <v>16 tâches ont été définies</v>
      </c>
    </row>
    <row r="13" spans="2:31" x14ac:dyDescent="0.25">
      <c r="B13" s="45">
        <f t="shared" si="5"/>
        <v>6</v>
      </c>
      <c r="C13" s="15" t="s">
        <v>80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18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65</v>
      </c>
      <c r="AE13" s="4" t="str">
        <f>AD13 &amp; " " &amp; AC13 &amp; IF(AD13 &gt; 1, "s", "")</f>
        <v>65 heures</v>
      </c>
    </row>
    <row r="14" spans="2:31" x14ac:dyDescent="0.25">
      <c r="B14" s="44">
        <f t="shared" si="5"/>
        <v>7</v>
      </c>
      <c r="C14" s="17" t="s">
        <v>87</v>
      </c>
      <c r="D14" s="19">
        <v>6</v>
      </c>
      <c r="E14" s="18" t="s">
        <v>12</v>
      </c>
      <c r="F14" s="18">
        <v>3</v>
      </c>
      <c r="G14" s="32">
        <v>0.83333333333334902</v>
      </c>
      <c r="H14" s="42" t="s">
        <v>18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5">
        <f t="shared" si="5"/>
        <v>8</v>
      </c>
      <c r="C15" s="15" t="s">
        <v>77</v>
      </c>
      <c r="D15" s="16">
        <v>7</v>
      </c>
      <c r="E15" s="16" t="s">
        <v>12</v>
      </c>
      <c r="F15" s="16">
        <v>2</v>
      </c>
      <c r="G15" s="31">
        <v>0.16666666666666699</v>
      </c>
      <c r="H15" s="41" t="s">
        <v>18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65 heures et 45 minutes</v>
      </c>
    </row>
    <row r="16" spans="2:31" x14ac:dyDescent="0.25">
      <c r="B16" s="44">
        <f>IF(LEN(C16)&lt;&gt;0,IF(OR(LEN(B15)=0,B15="^"),"^",B15+1),"")</f>
        <v>9</v>
      </c>
      <c r="C16" s="15" t="s">
        <v>79</v>
      </c>
      <c r="D16" s="18">
        <v>8</v>
      </c>
      <c r="E16" s="18" t="s">
        <v>12</v>
      </c>
      <c r="F16" s="18">
        <v>2</v>
      </c>
      <c r="G16" s="32">
        <v>0.16666666666666699</v>
      </c>
      <c r="H16" s="42" t="s">
        <v>18</v>
      </c>
      <c r="L16" s="3" t="b">
        <f t="shared" ref="L16:P18" si="6">AND(NOT(ISBLANK($C16)),LEN(D16)=0)</f>
        <v>0</v>
      </c>
      <c r="M16" s="3" t="b">
        <f t="shared" si="6"/>
        <v>0</v>
      </c>
      <c r="N16" s="3" t="b">
        <f t="shared" si="6"/>
        <v>0</v>
      </c>
      <c r="O16" s="3" t="b">
        <f t="shared" si="6"/>
        <v>0</v>
      </c>
      <c r="P16" s="3" t="b">
        <f t="shared" si="6"/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>IF(LEN(C17)&lt;&gt;0,IF(OR(LEN(B16)=0,B16="^"),"^",B16+1),"")</f>
        <v>10</v>
      </c>
      <c r="C17" s="121" t="s">
        <v>82</v>
      </c>
      <c r="D17" s="16">
        <v>9</v>
      </c>
      <c r="E17" s="16" t="s">
        <v>12</v>
      </c>
      <c r="F17" s="16">
        <v>1</v>
      </c>
      <c r="G17" s="31">
        <v>6.25E-2</v>
      </c>
      <c r="H17" s="41" t="s">
        <v>18</v>
      </c>
      <c r="L17" s="3" t="b">
        <f t="shared" si="6"/>
        <v>0</v>
      </c>
      <c r="M17" s="3" t="b">
        <f t="shared" si="6"/>
        <v>0</v>
      </c>
      <c r="N17" s="3" t="b">
        <f t="shared" si="6"/>
        <v>0</v>
      </c>
      <c r="O17" s="3" t="b">
        <f t="shared" si="6"/>
        <v>0</v>
      </c>
      <c r="P17" s="3" t="b">
        <f t="shared" si="6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>
        <f>IF(LEN(C18)&lt;&gt;0,IF(OR(LEN(B17)=0,B17="^"),"^",B17+1),"")</f>
        <v>11</v>
      </c>
      <c r="C18" s="15" t="s">
        <v>83</v>
      </c>
      <c r="D18" s="18">
        <v>10</v>
      </c>
      <c r="E18" s="18" t="s">
        <v>12</v>
      </c>
      <c r="F18" s="18">
        <v>2</v>
      </c>
      <c r="G18" s="32">
        <v>8.3333333333333301E-2</v>
      </c>
      <c r="H18" s="42" t="s">
        <v>18</v>
      </c>
      <c r="L18" s="3" t="b">
        <f t="shared" si="6"/>
        <v>0</v>
      </c>
      <c r="M18" s="3" t="b">
        <f t="shared" si="6"/>
        <v>0</v>
      </c>
      <c r="N18" s="3" t="b">
        <f t="shared" si="6"/>
        <v>0</v>
      </c>
      <c r="O18" s="3" t="b">
        <f t="shared" si="6"/>
        <v>0</v>
      </c>
      <c r="P18" s="3" t="b">
        <f t="shared" si="6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1.8229166666666843</v>
      </c>
      <c r="AE18" s="4">
        <f>AD18 * 24*60</f>
        <v>2625.0000000000255</v>
      </c>
      <c r="AF18" s="4">
        <f t="shared" ref="AF18:AF19" si="7">DAY(AD18)*24+HOUR(AD18)</f>
        <v>43</v>
      </c>
      <c r="AG18" s="4">
        <f t="shared" ref="AG18:AG19" si="8">MINUTE(AD18)</f>
        <v>45</v>
      </c>
      <c r="AH18" s="4" t="str">
        <f t="shared" ref="AH18:AH19" si="9">AF18&amp;"h"&amp;TEXT(AG18,"00")</f>
        <v>43h45</v>
      </c>
      <c r="AJ18" s="4">
        <f>COUNTIF($H$8:$H$42,AC18)</f>
        <v>8</v>
      </c>
    </row>
    <row r="19" spans="2:36" x14ac:dyDescent="0.25">
      <c r="B19" s="45">
        <f t="shared" si="5"/>
        <v>12</v>
      </c>
      <c r="C19" s="17" t="s">
        <v>78</v>
      </c>
      <c r="D19" s="16">
        <v>11</v>
      </c>
      <c r="E19" s="16" t="s">
        <v>12</v>
      </c>
      <c r="F19" s="16">
        <v>3</v>
      </c>
      <c r="G19" s="31">
        <v>0.41666666666666802</v>
      </c>
      <c r="H19" s="41" t="s">
        <v>18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0.39583333333333359</v>
      </c>
      <c r="AE19" s="4">
        <f>AD19 * 24*60</f>
        <v>570.00000000000045</v>
      </c>
      <c r="AF19" s="4">
        <f t="shared" si="7"/>
        <v>9</v>
      </c>
      <c r="AG19" s="4">
        <f t="shared" si="8"/>
        <v>30</v>
      </c>
      <c r="AH19" s="4" t="str">
        <f t="shared" si="9"/>
        <v>9h30</v>
      </c>
      <c r="AJ19" s="4">
        <f>COUNTIF($H$8:$H$42,AC19)</f>
        <v>4</v>
      </c>
    </row>
    <row r="20" spans="2:36" x14ac:dyDescent="0.25">
      <c r="B20" s="44">
        <f t="shared" si="5"/>
        <v>13</v>
      </c>
      <c r="C20" s="15" t="s">
        <v>84</v>
      </c>
      <c r="D20" s="19">
        <v>12</v>
      </c>
      <c r="E20" s="18" t="s">
        <v>12</v>
      </c>
      <c r="F20" s="18">
        <v>1</v>
      </c>
      <c r="G20" s="32">
        <v>8.3333333333333301E-2</v>
      </c>
      <c r="H20" s="42" t="s">
        <v>21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21" t="s">
        <v>85</v>
      </c>
      <c r="D21" s="16">
        <v>13</v>
      </c>
      <c r="E21" s="16" t="s">
        <v>12</v>
      </c>
      <c r="F21" s="16">
        <v>1</v>
      </c>
      <c r="G21" s="31">
        <v>6.25E-2</v>
      </c>
      <c r="H21" s="41" t="s">
        <v>21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2.7395833333333512</v>
      </c>
      <c r="AE21" s="4">
        <f t="shared" ref="AE21" si="10">AD21 * 24*60</f>
        <v>3945.0000000000255</v>
      </c>
      <c r="AF21" s="4">
        <f t="shared" ref="AF21" si="11">DAY(AD21)*24+HOUR(AD21)</f>
        <v>65</v>
      </c>
      <c r="AG21" s="4">
        <f t="shared" ref="AG21" si="12">MINUTE(AD21)</f>
        <v>45</v>
      </c>
      <c r="AH21" s="4" t="str">
        <f t="shared" ref="AH21" si="13">AF21&amp;"h"&amp;TEXT(AG21,"00")</f>
        <v>65h45</v>
      </c>
    </row>
    <row r="22" spans="2:36" x14ac:dyDescent="0.25">
      <c r="B22" s="44">
        <f>IF(LEN(C22)&lt;&gt;0,IF(OR(LEN(B21)=0,B21="^"),"^",B21+1),"")</f>
        <v>15</v>
      </c>
      <c r="C22" s="17" t="s">
        <v>76</v>
      </c>
      <c r="D22" s="18">
        <v>14</v>
      </c>
      <c r="E22" s="18" t="s">
        <v>12</v>
      </c>
      <c r="F22" s="18">
        <v>2</v>
      </c>
      <c r="G22" s="32">
        <v>8.3333333333333301E-2</v>
      </c>
      <c r="H22" s="42" t="s">
        <v>21</v>
      </c>
      <c r="L22" s="3" t="b">
        <f>AND(NOT(ISBLANK($C22)),LEN(D22)=0)</f>
        <v>0</v>
      </c>
      <c r="M22" s="3" t="b">
        <f>AND(NOT(ISBLANK($C22)),LEN(E22)=0)</f>
        <v>0</v>
      </c>
      <c r="N22" s="3" t="b">
        <f>AND(NOT(ISBLANK($C22)),LEN(F22)=0)</f>
        <v>0</v>
      </c>
      <c r="O22" s="3" t="b">
        <f>AND(NOT(ISBLANK($C22)),LEN(G22)=0)</f>
        <v>0</v>
      </c>
      <c r="P22" s="3" t="b">
        <f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21" t="s">
        <v>86</v>
      </c>
      <c r="D23" s="16">
        <v>15</v>
      </c>
      <c r="E23" s="16" t="s">
        <v>12</v>
      </c>
      <c r="F23" s="16">
        <v>3</v>
      </c>
      <c r="G23" s="31">
        <v>0.16666666666666699</v>
      </c>
      <c r="H23" s="41" t="s">
        <v>21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4">AND(NOT(ISBLANK($C24)),LEN(E24)=0)</f>
        <v>0</v>
      </c>
      <c r="N24" s="3" t="b">
        <f t="shared" ref="N24:N42" si="15">AND(NOT(ISBLANK($C24)),LEN(F24)=0)</f>
        <v>0</v>
      </c>
      <c r="O24" s="3" t="b">
        <f t="shared" ref="O24:O42" si="16">AND(NOT(ISBLANK($C24)),LEN(G24)=0)</f>
        <v>0</v>
      </c>
      <c r="P24" s="3" t="b">
        <f t="shared" ref="P24:P42" si="17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4"/>
        <v>0</v>
      </c>
      <c r="N25" s="3" t="b">
        <f t="shared" si="15"/>
        <v>0</v>
      </c>
      <c r="O25" s="3" t="b">
        <f t="shared" si="16"/>
        <v>0</v>
      </c>
      <c r="P25" s="3" t="b">
        <f t="shared" si="17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4"/>
        <v>0</v>
      </c>
      <c r="N26" s="3" t="b">
        <f t="shared" si="15"/>
        <v>0</v>
      </c>
      <c r="O26" s="3" t="b">
        <f t="shared" si="16"/>
        <v>0</v>
      </c>
      <c r="P26" s="3" t="b">
        <f t="shared" si="17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2:H22 B12:B21 D19:H21 B24:H42 B23 D23:H23">
    <cfRule type="expression" dxfId="93" priority="27">
      <formula>$E8="Optionnelle"</formula>
    </cfRule>
    <cfRule type="expression" dxfId="92" priority="29">
      <formula>$E8="Essentielle"</formula>
    </cfRule>
  </conditionalFormatting>
  <conditionalFormatting sqref="F8 F10 F20 F22 F24 F26 F28 F30 F32 F34 F36 F38 F40 F42">
    <cfRule type="expression" dxfId="91" priority="37">
      <formula>$F8=3</formula>
    </cfRule>
    <cfRule type="expression" dxfId="90" priority="39">
      <formula>$F8=2</formula>
    </cfRule>
    <cfRule type="expression" dxfId="89" priority="41">
      <formula>$F8=1</formula>
    </cfRule>
  </conditionalFormatting>
  <conditionalFormatting sqref="F9 F11 F37 F39 F41 F33:F35 F31 F21:F27 F29 F19">
    <cfRule type="expression" dxfId="88" priority="36">
      <formula>$F9=3</formula>
    </cfRule>
    <cfRule type="expression" dxfId="87" priority="38">
      <formula>$F9=2</formula>
    </cfRule>
    <cfRule type="expression" dxfId="86" priority="40">
      <formula>$F9=1</formula>
    </cfRule>
  </conditionalFormatting>
  <conditionalFormatting sqref="G10 G8 G20 G22 G24 G26 G28 G30 G32 G34 G36 G38 G40 G42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3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85" priority="33">
      <formula>L8</formula>
    </cfRule>
  </conditionalFormatting>
  <conditionalFormatting sqref="H8:H11 H19:H42">
    <cfRule type="expression" dxfId="84" priority="32">
      <formula>$P8</formula>
    </cfRule>
  </conditionalFormatting>
  <conditionalFormatting sqref="H5">
    <cfRule type="expression" dxfId="83" priority="31">
      <formula>$L$44&gt;0</formula>
    </cfRule>
  </conditionalFormatting>
  <conditionalFormatting sqref="B9:H9 B11:H11 B13 B15 B19 B21 B23 B25:H25 B27:H27 B29:H29 B31:H31 B33:H33 B35:H35 B37:H37 B39:H39 B41:H41 B17 D19:H19 D21:H21 D23:H23">
    <cfRule type="expression" dxfId="82" priority="54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81" priority="30">
      <formula>LEN($B8)=0</formula>
    </cfRule>
  </conditionalFormatting>
  <conditionalFormatting sqref="C12:H16 D17:H18">
    <cfRule type="expression" dxfId="80" priority="13">
      <formula>$E12="Optionnelle"</formula>
    </cfRule>
    <cfRule type="expression" dxfId="79" priority="14">
      <formula>$E12="Essentielle"</formula>
    </cfRule>
  </conditionalFormatting>
  <conditionalFormatting sqref="F12 F14 F16 F18">
    <cfRule type="expression" dxfId="78" priority="21">
      <formula>$F12=3</formula>
    </cfRule>
    <cfRule type="expression" dxfId="77" priority="23">
      <formula>$F12=2</formula>
    </cfRule>
    <cfRule type="expression" dxfId="76" priority="25">
      <formula>$F12=1</formula>
    </cfRule>
  </conditionalFormatting>
  <conditionalFormatting sqref="F13:F18">
    <cfRule type="expression" dxfId="75" priority="20">
      <formula>$F13=3</formula>
    </cfRule>
    <cfRule type="expression" dxfId="74" priority="22">
      <formula>$F13=2</formula>
    </cfRule>
    <cfRule type="expression" dxfId="73" priority="24">
      <formula>$F13=1</formula>
    </cfRule>
  </conditionalFormatting>
  <conditionalFormatting sqref="G12 G14 G16 G18">
    <cfRule type="dataBar" priority="1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1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72" priority="17">
      <formula>L12</formula>
    </cfRule>
  </conditionalFormatting>
  <conditionalFormatting sqref="H12:H18">
    <cfRule type="expression" dxfId="71" priority="16">
      <formula>$P12</formula>
    </cfRule>
  </conditionalFormatting>
  <conditionalFormatting sqref="C13:H13 C15:H15 D17:H17">
    <cfRule type="expression" dxfId="70" priority="26">
      <formula>LEN($B13)=0</formula>
    </cfRule>
  </conditionalFormatting>
  <conditionalFormatting sqref="C12:H12 C14:H14 C16:H16 D18:H18">
    <cfRule type="expression" dxfId="69" priority="15">
      <formula>LEN($B12)=0</formula>
    </cfRule>
  </conditionalFormatting>
  <conditionalFormatting sqref="C16">
    <cfRule type="expression" dxfId="68" priority="12">
      <formula>LEN($B16)=0</formula>
    </cfRule>
  </conditionalFormatting>
  <conditionalFormatting sqref="C17">
    <cfRule type="expression" dxfId="67" priority="10">
      <formula>$E19="Optionnelle"</formula>
    </cfRule>
    <cfRule type="expression" dxfId="66" priority="11">
      <formula>$E19="Essentielle"</formula>
    </cfRule>
  </conditionalFormatting>
  <conditionalFormatting sqref="C18">
    <cfRule type="expression" dxfId="65" priority="7">
      <formula>$E20="Optionnelle"</formula>
    </cfRule>
    <cfRule type="expression" dxfId="64" priority="8">
      <formula>$E20="Essentielle"</formula>
    </cfRule>
  </conditionalFormatting>
  <conditionalFormatting sqref="C18">
    <cfRule type="expression" dxfId="63" priority="9">
      <formula>LEN($B20)=0</formula>
    </cfRule>
  </conditionalFormatting>
  <conditionalFormatting sqref="C19">
    <cfRule type="expression" dxfId="62" priority="4">
      <formula>$E19="Optionnelle"</formula>
    </cfRule>
    <cfRule type="expression" dxfId="61" priority="5">
      <formula>$E19="Essentielle"</formula>
    </cfRule>
  </conditionalFormatting>
  <conditionalFormatting sqref="C19">
    <cfRule type="expression" dxfId="60" priority="6">
      <formula>LEN($B19)=0</formula>
    </cfRule>
  </conditionalFormatting>
  <conditionalFormatting sqref="C20">
    <cfRule type="expression" dxfId="59" priority="1">
      <formula>$E21="Optionnelle"</formula>
    </cfRule>
    <cfRule type="expression" dxfId="58" priority="2">
      <formula>$E21="Essentielle"</formula>
    </cfRule>
  </conditionalFormatting>
  <conditionalFormatting sqref="C20">
    <cfRule type="expression" dxfId="57" priority="3">
      <formula>LEN($B21)=0</formula>
    </cfRule>
  </conditionalFormatting>
  <dataValidations xWindow="845" yWindow="727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G28" sqref="G28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</row>
    <row r="3" spans="2:23" x14ac:dyDescent="0.25">
      <c r="B3" s="20" t="s">
        <v>26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6 heures et 45 minutes de travail réalisé. 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0.28125000000000028</v>
      </c>
      <c r="R8" s="62">
        <f>Q8*24*60</f>
        <v>405.00000000000045</v>
      </c>
      <c r="T8" s="9">
        <f>SUM(E8:E42)</f>
        <v>0.28125000000000028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8.3333333333333301E-2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0.28125000000000028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0.16666666666666699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6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2.0833333333333301E-2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Installer une machine virtuelle windows server</v>
      </c>
      <c r="D12" s="56" t="str">
        <f>IF(LEN('Sprint 1 - Planification'!H12)&lt;&gt;0,'Sprint 1 - Planification'!H12,"")</f>
        <v>Sprint 2</v>
      </c>
      <c r="E12" s="112"/>
      <c r="F12" s="110"/>
      <c r="G12" s="111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6</v>
      </c>
      <c r="U12" s="4" t="str">
        <f>T12 &amp; " " &amp; S12 &amp; IF(T12 &gt; 1, "s", "")</f>
        <v>6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Tester le fonctionnement de la vulnérabilité sur windows server</v>
      </c>
      <c r="D13" s="52" t="str">
        <f>IF(LEN('Sprint 1 - Planification'!H13)&lt;&gt;0,'Sprint 1 - Planification'!H13,"")</f>
        <v>Sprint 2</v>
      </c>
      <c r="E13" s="106"/>
      <c r="F13" s="107"/>
      <c r="G13" s="108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Intégrer le module d'exploitation de la vulnérabilité en python</v>
      </c>
      <c r="D14" s="56" t="str">
        <f>IF(LEN('Sprint 1 - Planification'!H14)&lt;&gt;0,'Sprint 1 - Planification'!H14,"")</f>
        <v>Sprint 2</v>
      </c>
      <c r="E14" s="112"/>
      <c r="F14" s="110"/>
      <c r="G14" s="111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6 heures et 45 minutes</v>
      </c>
      <c r="W14" s="4" t="str">
        <f>T12&amp;"h"&amp;TEXT(T13,"00")</f>
        <v>6h45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Transmettre un «payload» à un serveur et l'exécuter</v>
      </c>
      <c r="D15" s="52" t="str">
        <f>IF(LEN('Sprint 1 - Planification'!H15)&lt;&gt;0,'Sprint 1 - Planification'!H15,"")</f>
        <v>Sprint 2</v>
      </c>
      <c r="E15" s="106"/>
      <c r="F15" s="107"/>
      <c r="G15" s="108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Persistance (démarrer un service sur un port)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Centre de commande écoute les requêtes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Communiquer avec le centre de commande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Multiplication du programme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Déployé une base de donnée sql lite sur le centre de commande</v>
      </c>
      <c r="D20" s="56" t="str">
        <f>IF(LEN('Sprint 1 - Planification'!H20)&lt;&gt;0,'Sprint 1 - Planification'!H20,"")</f>
        <v>Sprint 3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Montrer la base de donnée en ligne de commande</v>
      </c>
      <c r="D21" s="52" t="str">
        <f>IF(LEN('Sprint 1 - Planification'!H21)&lt;&gt;0,'Sprint 1 - Planification'!H21,"")</f>
        <v>Sprint 3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Déployer des machines virtuelles à l'aide de Ansible dans proxmox</v>
      </c>
      <c r="D22" s="55" t="str">
        <f>IF(LEN('Sprint 1 - Planification'!H22)&lt;&gt;0,'Sprint 1 - Planification'!H22,"")</f>
        <v>Sprint 3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Développer un gui pour le centre de commande à l'aide de Qt</v>
      </c>
      <c r="D23" s="52" t="str">
        <f>IF(LEN('Sprint 1 - Planification'!H23)&lt;&gt;0,'Sprint 1 - Planification'!H23,"")</f>
        <v>Sprint 3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2"/>
      <c r="F32" s="110"/>
      <c r="G32" s="111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06"/>
      <c r="F33" s="107"/>
      <c r="G33" s="108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abSelected="1" workbookViewId="0">
      <selection activeCell="I16" sqref="I16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6 heures de travail réalisé. 2 tâches sont en retard!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33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0.25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8.3333333333333301E-2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0.25</v>
      </c>
      <c r="T10" s="62">
        <f t="shared" ref="T10:T11" si="4">S10*24*60</f>
        <v>360</v>
      </c>
      <c r="V10" s="10">
        <f>V9</f>
        <v>0.25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0.16666666666666699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2.0833333333333301E-2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 t="str">
        <f>IF(ISBLANK('Sprint 1 - Bilan'!E12),"",'Sprint 1 - Bilan'!E12)</f>
        <v/>
      </c>
      <c r="F13" s="73" t="str">
        <f>IF(ISBLANK('Sprint 1 - Bilan'!F12),"",'Sprint 1 - Bilan'!F12)</f>
        <v/>
      </c>
      <c r="G13" s="112">
        <v>4.1666666666666699E-2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6</v>
      </c>
      <c r="W13" s="4" t="str">
        <f>V13 &amp; " " &amp; U13 &amp; IF(V13 &gt; 1, "s", "")</f>
        <v>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 t="str">
        <f>IF(ISBLANK('Sprint 1 - Bilan'!E13),"",'Sprint 1 - Bilan'!E13)</f>
        <v/>
      </c>
      <c r="F14" s="71" t="str">
        <f>IF(ISBLANK('Sprint 1 - Bilan'!F13),"",'Sprint 1 - Bilan'!F13)</f>
        <v/>
      </c>
      <c r="G14" s="106">
        <v>8.3333333333333301E-2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le module d'exploitation de la vulnérabilité en python</v>
      </c>
      <c r="D15" s="56" t="str">
        <f>IF(LEN('Sprint 1 - Planification'!H14)&lt;&gt;0,'Sprint 1 - Planification'!H14,"")</f>
        <v>Sprint 2</v>
      </c>
      <c r="E15" s="69" t="str">
        <f>IF(ISBLANK('Sprint 1 - Bilan'!E14),"",'Sprint 1 - Bilan'!E14)</f>
        <v/>
      </c>
      <c r="F15" s="73" t="str">
        <f>IF(ISBLANK('Sprint 1 - Bilan'!F14),"",'Sprint 1 - Bilan'!F14)</f>
        <v/>
      </c>
      <c r="G15" s="112">
        <v>0</v>
      </c>
      <c r="H15" s="110">
        <v>0</v>
      </c>
      <c r="I15" s="111" t="s">
        <v>88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6 heures</v>
      </c>
      <c r="Y15" s="4" t="str">
        <f>V13&amp;"h"&amp;TEXT(V14,"00")</f>
        <v>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IF(ISBLANK('Sprint 1 - Bilan'!E15),"",'Sprint 1 - Bilan'!E15)</f>
        <v/>
      </c>
      <c r="F16" s="71" t="str">
        <f>IF(ISBLANK('Sprint 1 - Bilan'!F15),"",'Sprint 1 - Bilan'!F15)</f>
        <v/>
      </c>
      <c r="G16" s="106">
        <v>0</v>
      </c>
      <c r="H16" s="107">
        <v>0</v>
      </c>
      <c r="I16" s="108" t="s">
        <v>88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2</v>
      </c>
      <c r="W16" s="4" t="str">
        <f>IF(V16=0,"",IF(V16=1,"Une tâche est en retard!",CONCATENATE(V16," tâches sont en retard!")))</f>
        <v>2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4.1666666666666699E-2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2.0833333333333301E-2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2.0833333333333301E-2</v>
      </c>
      <c r="H19" s="110">
        <v>1</v>
      </c>
      <c r="I19" s="111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4.1666666666666699E-2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/>
      <c r="H22" s="107"/>
      <c r="I22" s="108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/>
      <c r="H23" s="110"/>
      <c r="I23" s="111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/>
      <c r="H24" s="107"/>
      <c r="I24" s="108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2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H21" sqref="H21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Vers informatique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11 champs à remplir!</v>
      </c>
    </row>
    <row r="6" spans="2:25" ht="7.5" customHeight="1" thickBot="1" x14ac:dyDescent="0.3"/>
    <row r="7" spans="2:25" x14ac:dyDescent="0.25">
      <c r="B7" s="132" t="s">
        <v>3</v>
      </c>
      <c r="C7" s="130" t="s">
        <v>4</v>
      </c>
      <c r="D7" s="128" t="s">
        <v>28</v>
      </c>
      <c r="E7" s="126" t="s">
        <v>36</v>
      </c>
      <c r="F7" s="127"/>
      <c r="G7" s="132" t="s">
        <v>8</v>
      </c>
      <c r="H7" s="134" t="s">
        <v>29</v>
      </c>
      <c r="I7" s="136" t="s">
        <v>30</v>
      </c>
      <c r="M7" s="7"/>
    </row>
    <row r="8" spans="2:25" x14ac:dyDescent="0.25">
      <c r="B8" s="133"/>
      <c r="C8" s="131"/>
      <c r="D8" s="129"/>
      <c r="E8" s="119" t="s">
        <v>8</v>
      </c>
      <c r="F8" s="119" t="s">
        <v>29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</v>
      </c>
      <c r="T9" s="62">
        <f>S9*24*60</f>
        <v>0</v>
      </c>
      <c r="V9" s="9">
        <f>SUM(G9:G43)</f>
        <v>4.1666666666666699E-2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8.3333333333333301E-2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4.1666666666666699E-2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0.16666666666666699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4.1666666666666699E-2</v>
      </c>
      <c r="T11" s="62">
        <f t="shared" si="4"/>
        <v>60.000000000000057</v>
      </c>
      <c r="V11" s="63">
        <f>DAY(V9)*24+HOUR(V9)</f>
        <v>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2.0833333333333301E-2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Installer une machine virtuelle windows server</v>
      </c>
      <c r="D13" s="56" t="str">
        <f>IF(LEN('Sprint 1 - Planification'!H12)&lt;&gt;0,'Sprint 1 - Planification'!H12,"")</f>
        <v>Sprint 2</v>
      </c>
      <c r="E13" s="69">
        <f>IF(_xlfn.NUMBERVALUE('Sprint 2 - Bilan'!$E13)+_xlfn.NUMBERVALUE('Sprint 2 - Bilan'!$G13)=0,"",_xlfn.NUMBERVALUE('Sprint 2 - Bilan'!$E13)+_xlfn.NUMBERVALUE('Sprint 2 - Bilan'!$G13))</f>
        <v>4.1666666666666699E-2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1</v>
      </c>
      <c r="W13" s="4" t="str">
        <f>V13 &amp; " " &amp; U13 &amp; IF(V13 &gt; 1, "s", "")</f>
        <v>1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Tester le fonctionnement de la vulnérabilité sur windows server</v>
      </c>
      <c r="D14" s="52" t="str">
        <f>IF(LEN('Sprint 1 - Planification'!H13)&lt;&gt;0,'Sprint 1 - Planification'!H13,"")</f>
        <v>Sprint 2</v>
      </c>
      <c r="E14" s="67">
        <f>IF(_xlfn.NUMBERVALUE('Sprint 2 - Bilan'!$E14)+_xlfn.NUMBERVALUE('Sprint 2 - Bilan'!$G14)=0,"",_xlfn.NUMBERVALUE('Sprint 2 - Bilan'!$E14)+_xlfn.NUMBERVALUE('Sprint 2 - Bilan'!$G14))</f>
        <v>8.3333333333333301E-2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Intégrer le module d'exploitation de la vulnérabilité en python</v>
      </c>
      <c r="D15" s="56" t="str">
        <f>IF(LEN('Sprint 1 - Planification'!H14)&lt;&gt;0,'Sprint 1 - Planification'!H14,"")</f>
        <v>Sprint 2</v>
      </c>
      <c r="E15" s="69" t="str">
        <f>IF(_xlfn.NUMBERVALUE('Sprint 2 - Bilan'!$E15)+_xlfn.NUMBERVALUE('Sprint 2 - Bilan'!$G15)=0,"",_xlfn.NUMBERVALUE('Sprint 2 - Bilan'!$E15)+_xlfn.NUMBERVALUE('Sprint 2 - Bilan'!$G15))</f>
        <v/>
      </c>
      <c r="F15" s="73">
        <f>IF(LEN('Sprint 2 - Bilan'!$H15)&lt;&gt;0,'Sprint 2 - Bilan'!$H15,IF(LEN('Sprint 2 - Bilan'!$F15)=0,"",'Sprint 2 - Bilan'!$F15))</f>
        <v>0</v>
      </c>
      <c r="G15" s="112"/>
      <c r="H15" s="110"/>
      <c r="I15" s="111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1 heure</v>
      </c>
      <c r="Y15" s="4" t="str">
        <f>V13&amp;"h"&amp;TEXT(V14,"00")</f>
        <v>1h00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Transmettre un «payload» à un serveur et l'exécuter</v>
      </c>
      <c r="D16" s="52" t="str">
        <f>IF(LEN('Sprint 1 - Planification'!H15)&lt;&gt;0,'Sprint 1 - Planification'!H15,"")</f>
        <v>Sprint 2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>
        <f>IF(LEN('Sprint 2 - Bilan'!$H16)&lt;&gt;0,'Sprint 2 - Bilan'!$H16,IF(LEN('Sprint 2 - Bilan'!$F16)=0,"",'Sprint 2 - Bilan'!$F16))</f>
        <v>0</v>
      </c>
      <c r="G16" s="106"/>
      <c r="H16" s="107"/>
      <c r="I16" s="108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6</v>
      </c>
      <c r="W16" s="4" t="str">
        <f>IF(V16=0,"",IF(V16=1,"Une tâche n'a pas été terminée!",CONCATENATE(V16," tâches n'ont pas été terminé!")))</f>
        <v>6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Persistance (démarrer un service sur un port)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4.1666666666666699E-2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Centre de commande écoute les requêtes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2.0833333333333301E-2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Communiquer avec le centre de commande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2.0833333333333301E-2</v>
      </c>
      <c r="F19" s="73">
        <f>IF(LEN('Sprint 2 - Bilan'!$H19)&lt;&gt;0,'Sprint 2 - Bilan'!$H19,IF(LEN('Sprint 2 - Bilan'!$F19)=0,"",'Sprint 2 - Bilan'!$F19))</f>
        <v>1</v>
      </c>
      <c r="G19" s="112"/>
      <c r="H19" s="110"/>
      <c r="I19" s="111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Multiplication du programme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4.1666666666666699E-2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Déployé une base de donnée sql lite sur le centre de commande</v>
      </c>
      <c r="D21" s="56" t="str">
        <f>IF(LEN('Sprint 1 - Planification'!H20)&lt;&gt;0,'Sprint 1 - Planification'!H20,"")</f>
        <v>Sprint 3</v>
      </c>
      <c r="E21" s="69" t="str">
        <f>IF(_xlfn.NUMBERVALUE('Sprint 2 - Bilan'!$E21)+_xlfn.NUMBERVALUE('Sprint 2 - Bilan'!$G21)=0,"",_xlfn.NUMBERVALUE('Sprint 2 - Bilan'!$E21)+_xlfn.NUMBERVALUE('Sprint 2 - Bilan'!$G21))</f>
        <v/>
      </c>
      <c r="F21" s="73" t="str">
        <f>IF(LEN('Sprint 2 - Bilan'!$H21)&lt;&gt;0,'Sprint 2 - Bilan'!$H21,IF(LEN('Sprint 2 - Bilan'!$F21)=0,"",'Sprint 2 - Bilan'!$F21))</f>
        <v/>
      </c>
      <c r="G21" s="112">
        <v>4.1666666666666699E-2</v>
      </c>
      <c r="H21" s="110">
        <v>0.5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1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Montrer la base de donnée en ligne de commande</v>
      </c>
      <c r="D22" s="52" t="str">
        <f>IF(LEN('Sprint 1 - Planification'!H21)&lt;&gt;0,'Sprint 1 - Planification'!H21,"")</f>
        <v>Sprint 3</v>
      </c>
      <c r="E22" s="67" t="str">
        <f>IF(_xlfn.NUMBERVALUE('Sprint 2 - Bilan'!$E22)+_xlfn.NUMBERVALUE('Sprint 2 - Bilan'!$G22)=0,"",_xlfn.NUMBERVALUE('Sprint 2 - Bilan'!$E22)+_xlfn.NUMBERVALUE('Sprint 2 - Bilan'!$G22))</f>
        <v/>
      </c>
      <c r="F22" s="71" t="str">
        <f>IF(LEN('Sprint 2 - Bilan'!$H22)&lt;&gt;0,'Sprint 2 - Bilan'!$H22,IF(LEN('Sprint 2 - Bilan'!$F22)=0,"",'Sprint 2 - Bilan'!$F22))</f>
        <v/>
      </c>
      <c r="G22" s="106"/>
      <c r="H22" s="107"/>
      <c r="I22" s="108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Déployer des machines virtuelles à l'aide de Ansible dans proxmox</v>
      </c>
      <c r="D23" s="55" t="str">
        <f>IF(LEN('Sprint 1 - Planification'!H22)&lt;&gt;0,'Sprint 1 - Planification'!H22,"")</f>
        <v>Sprint 3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 t="str">
        <f>IF(LEN('Sprint 2 - Bilan'!$H23)&lt;&gt;0,'Sprint 2 - Bilan'!$H23,IF(LEN('Sprint 2 - Bilan'!$F23)=0,"",'Sprint 2 - Bilan'!$F23))</f>
        <v/>
      </c>
      <c r="G23" s="109"/>
      <c r="H23" s="110"/>
      <c r="I23" s="111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Développer un gui pour le centre de commande à l'aide de Qt</v>
      </c>
      <c r="D24" s="52" t="str">
        <f>IF(LEN('Sprint 1 - Planification'!H23)&lt;&gt;0,'Sprint 1 - Planification'!H23,"")</f>
        <v>Sprint 3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 t="str">
        <f>IF(LEN('Sprint 2 - Bilan'!$H24)&lt;&gt;0,'Sprint 2 - Bilan'!$H24,IF(LEN('Sprint 2 - Bilan'!$F24)=0,"",'Sprint 2 - Bilan'!$F24))</f>
        <v/>
      </c>
      <c r="G24" s="106"/>
      <c r="H24" s="107"/>
      <c r="I24" s="108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69" t="str">
        <f>IF(_xlfn.NUMBERVALUE('Sprint 2 - Bilan'!$E33)+_xlfn.NUMBERVALUE('Sprint 2 - Bilan'!$G33)=0,"",_xlfn.NUMBERVALUE('Sprint 2 - Bilan'!$E33)+_xlfn.NUMBERVALUE('Sprint 2 - Bilan'!$G33))</f>
        <v/>
      </c>
      <c r="F33" s="73" t="str">
        <f>IF(LEN('Sprint 2 - Bilan'!$H33)&lt;&gt;0,'Sprint 2 - Bilan'!$H33,IF(LEN('Sprint 2 - Bilan'!$F33)=0,"",'Sprint 2 - Bilan'!$F33))</f>
        <v/>
      </c>
      <c r="G33" s="112"/>
      <c r="H33" s="110"/>
      <c r="I33" s="111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 t="str">
        <f>IF(LEN('Sprint 2 - Bilan'!$H34)&lt;&gt;0,'Sprint 2 - Bilan'!$H34,IF(LEN('Sprint 2 - Bilan'!$F34)=0,"",'Sprint 2 - Bilan'!$F34))</f>
        <v/>
      </c>
      <c r="G34" s="106"/>
      <c r="H34" s="107"/>
      <c r="I34" s="108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5</v>
      </c>
      <c r="N44" s="3">
        <f t="shared" ref="N44:O44" si="5">COUNTIF(N9:N43,TRUE)</f>
        <v>5</v>
      </c>
      <c r="O44" s="3">
        <f t="shared" si="5"/>
        <v>1</v>
      </c>
      <c r="P44" s="3">
        <f>COUNTIF(P9:P43,FALSE)</f>
        <v>6</v>
      </c>
      <c r="R44" s="8"/>
    </row>
    <row r="45" spans="2:18" x14ac:dyDescent="0.25">
      <c r="M45" s="3">
        <f>SUM(M44:O44)</f>
        <v>11</v>
      </c>
      <c r="R45" s="8"/>
    </row>
    <row r="46" spans="2:18" x14ac:dyDescent="0.25">
      <c r="M46" s="3" t="str">
        <f>IF(M45=0, "aucun champ", IF(M45=1, "1 champ", M45 &amp; " champs"))</f>
        <v>11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7" workbookViewId="0">
      <selection activeCell="AY27" sqref="AY27"/>
    </sheetView>
  </sheetViews>
  <sheetFormatPr defaultColWidth="11.42578125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5" customHeight="1" x14ac:dyDescent="0.25">
      <c r="B3" s="25" t="s">
        <v>38</v>
      </c>
      <c r="C3" s="82"/>
      <c r="D3" s="82"/>
      <c r="E3" s="82"/>
      <c r="F3" s="82"/>
    </row>
    <row r="4" spans="2:25" ht="22.5" customHeight="1" x14ac:dyDescent="0.25">
      <c r="B4" s="76"/>
      <c r="C4" s="5"/>
      <c r="D4" s="5"/>
      <c r="E4" s="5"/>
      <c r="F4" s="5"/>
    </row>
    <row r="5" spans="2:25" ht="22.5" customHeight="1" thickBot="1" x14ac:dyDescent="0.25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5" t="s">
        <v>41</v>
      </c>
      <c r="C8" s="89">
        <f>L8</f>
        <v>4</v>
      </c>
      <c r="D8" s="90">
        <f>M8</f>
        <v>8</v>
      </c>
      <c r="E8" s="91">
        <f>N8</f>
        <v>4</v>
      </c>
      <c r="F8" s="95">
        <f>O8</f>
        <v>16</v>
      </c>
      <c r="G8" s="1"/>
      <c r="H8" s="1"/>
      <c r="L8" s="1">
        <f>'Sprint 1 - Planification'!AJ17</f>
        <v>4</v>
      </c>
      <c r="M8" s="1">
        <f>'Sprint 1 - Planification'!AJ18</f>
        <v>8</v>
      </c>
      <c r="N8" s="1">
        <f>'Sprint 1 - Planification'!AJ19</f>
        <v>4</v>
      </c>
      <c r="O8" s="1">
        <f>SUM(L8:N8)</f>
        <v>16</v>
      </c>
      <c r="P8" s="1"/>
      <c r="Q8" s="1"/>
      <c r="R8" s="1"/>
      <c r="S8" s="1"/>
    </row>
    <row r="9" spans="2:25" s="2" customFormat="1" ht="12.75" x14ac:dyDescent="0.25">
      <c r="B9" s="86" t="s">
        <v>42</v>
      </c>
      <c r="C9" s="92" t="str">
        <f t="shared" ref="C9:F10" si="0">DAY(L9)*24+HOUR(L9)&amp;"h"&amp;TEXT(MINUTE(L9),"00")</f>
        <v>12h30</v>
      </c>
      <c r="D9" s="93" t="str">
        <f t="shared" si="0"/>
        <v>43h45</v>
      </c>
      <c r="E9" s="94" t="str">
        <f t="shared" si="0"/>
        <v>9h30</v>
      </c>
      <c r="F9" s="96" t="str">
        <f t="shared" si="0"/>
        <v>65h45</v>
      </c>
      <c r="G9" s="1"/>
      <c r="H9" s="1"/>
      <c r="L9" s="1">
        <f>'Sprint 1 - Planification'!AD17</f>
        <v>0.5208333333333337</v>
      </c>
      <c r="M9" s="1">
        <f>'Sprint 1 - Planification'!AD18</f>
        <v>1.8229166666666843</v>
      </c>
      <c r="N9" s="1">
        <f>'Sprint 1 - Planification'!AD19</f>
        <v>0.39583333333333359</v>
      </c>
      <c r="O9" s="1">
        <f>SUM(L9:N9)</f>
        <v>2.7395833333333512</v>
      </c>
      <c r="P9" s="1" t="s">
        <v>43</v>
      </c>
      <c r="Q9" s="1">
        <f t="shared" ref="Q9:S10" si="1">DAY(L9)*24+HOUR(L9)+MINUTE(L9)/60</f>
        <v>12.5</v>
      </c>
      <c r="R9" s="1">
        <f t="shared" si="1"/>
        <v>43.75</v>
      </c>
      <c r="S9" s="1">
        <f t="shared" si="1"/>
        <v>9.5</v>
      </c>
      <c r="U9" s="2" t="s">
        <v>44</v>
      </c>
      <c r="V9" s="2">
        <f>COUNTIF('Sprint 1 - Planification'!E8:E42,"Essentielle")</f>
        <v>16</v>
      </c>
      <c r="X9" s="2" t="s">
        <v>45</v>
      </c>
      <c r="Y9" s="2">
        <f>COUNTIF('Sprint 1 - Planification'!F8:F42,1)</f>
        <v>7</v>
      </c>
    </row>
    <row r="10" spans="2:25" s="2" customFormat="1" ht="12.75" x14ac:dyDescent="0.25">
      <c r="B10" s="85" t="s">
        <v>46</v>
      </c>
      <c r="C10" s="89" t="str">
        <f t="shared" si="0"/>
        <v>6h45</v>
      </c>
      <c r="D10" s="90" t="str">
        <f t="shared" si="0"/>
        <v>6h00</v>
      </c>
      <c r="E10" s="91" t="str">
        <f t="shared" si="0"/>
        <v>1h00</v>
      </c>
      <c r="F10" s="95" t="str">
        <f t="shared" si="0"/>
        <v>13h45</v>
      </c>
      <c r="G10" s="1"/>
      <c r="H10" s="1"/>
      <c r="L10" s="1">
        <f>'Sprint 1 - Bilan'!T8</f>
        <v>0.28125000000000028</v>
      </c>
      <c r="M10" s="1">
        <f>'Sprint 2 - Bilan'!V9</f>
        <v>0.25</v>
      </c>
      <c r="N10" s="1">
        <f>'Sprint 3 - Bilan'!V9</f>
        <v>4.1666666666666699E-2</v>
      </c>
      <c r="O10" s="1">
        <f>SUM(L10:N10)</f>
        <v>0.57291666666666696</v>
      </c>
      <c r="P10" s="1" t="s">
        <v>47</v>
      </c>
      <c r="Q10" s="1">
        <f t="shared" si="1"/>
        <v>6.75</v>
      </c>
      <c r="R10" s="1">
        <f t="shared" si="1"/>
        <v>6</v>
      </c>
      <c r="S10" s="1">
        <f t="shared" si="1"/>
        <v>1</v>
      </c>
      <c r="U10" s="2" t="s">
        <v>48</v>
      </c>
      <c r="V10" s="2">
        <f>COUNTIF('Sprint 1 - Planification'!E8:E42,"Optionnelle")</f>
        <v>0</v>
      </c>
      <c r="X10" s="2" t="s">
        <v>49</v>
      </c>
      <c r="Y10" s="2">
        <f>COUNTIF('Sprint 1 - Planification'!F8:F42,2)</f>
        <v>6</v>
      </c>
    </row>
    <row r="11" spans="2:25" s="2" customFormat="1" ht="13.5" thickBot="1" x14ac:dyDescent="0.3">
      <c r="B11" s="97" t="s">
        <v>50</v>
      </c>
      <c r="C11" s="98">
        <f>L11</f>
        <v>0</v>
      </c>
      <c r="D11" s="99">
        <f>M11</f>
        <v>2</v>
      </c>
      <c r="E11" s="100">
        <f>N11</f>
        <v>6</v>
      </c>
      <c r="F11" s="101">
        <f>O11</f>
        <v>6</v>
      </c>
      <c r="G11" s="1"/>
      <c r="H11" s="1"/>
      <c r="L11" s="1">
        <f>'Sprint 1 - Bilan'!T15</f>
        <v>0</v>
      </c>
      <c r="M11" s="1">
        <f>'Sprint 2 - Bilan'!V16</f>
        <v>2</v>
      </c>
      <c r="N11" s="1">
        <f>'Sprint 3 - Bilan'!V16</f>
        <v>6</v>
      </c>
      <c r="O11" s="1">
        <f>N11</f>
        <v>6</v>
      </c>
      <c r="P11" s="1"/>
      <c r="Q11" s="1"/>
      <c r="R11" s="1"/>
      <c r="S11" s="1"/>
      <c r="X11" s="2" t="s">
        <v>51</v>
      </c>
      <c r="Y11" s="2">
        <f>COUNTIF('Sprint 1 - Planification'!F8:F42,3)</f>
        <v>3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zoomScale="130" zoomScaleNormal="130" workbookViewId="0">
      <selection activeCell="AQ41" sqref="AQ41"/>
    </sheetView>
  </sheetViews>
  <sheetFormatPr defaultColWidth="11.42578125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52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5" customHeight="1" x14ac:dyDescent="0.25">
      <c r="B4" s="5"/>
      <c r="C4" s="6"/>
      <c r="D4" s="76"/>
      <c r="E4" s="5"/>
      <c r="F4" s="5"/>
      <c r="G4" s="5"/>
      <c r="H4" s="5"/>
    </row>
    <row r="5" spans="2:8" ht="22.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2.75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2.75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2.75" x14ac:dyDescent="0.25">
      <c r="B12" s="1"/>
      <c r="D12" s="78" t="s">
        <v>58</v>
      </c>
      <c r="E12" s="1"/>
      <c r="F12" s="1"/>
      <c r="G12" s="1"/>
      <c r="H12" s="1"/>
    </row>
    <row r="13" spans="2:8" s="2" customFormat="1" ht="12.75" x14ac:dyDescent="0.25">
      <c r="B13" s="1"/>
      <c r="D13" s="78" t="s">
        <v>59</v>
      </c>
      <c r="E13" s="1"/>
      <c r="F13" s="1"/>
      <c r="G13" s="1"/>
      <c r="H13" s="1"/>
    </row>
    <row r="14" spans="2:8" s="2" customFormat="1" ht="12.75" x14ac:dyDescent="0.25">
      <c r="B14" s="1"/>
      <c r="D14" s="78" t="s">
        <v>60</v>
      </c>
      <c r="E14" s="1"/>
      <c r="F14" s="1"/>
      <c r="G14" s="1"/>
      <c r="H14" s="1"/>
    </row>
    <row r="15" spans="2:8" s="2" customFormat="1" ht="12.75" x14ac:dyDescent="0.25">
      <c r="B15" s="1"/>
      <c r="D15" s="78" t="s">
        <v>61</v>
      </c>
      <c r="E15" s="1"/>
      <c r="F15" s="1"/>
      <c r="G15" s="1"/>
      <c r="H15" s="1"/>
    </row>
    <row r="16" spans="2:8" s="2" customFormat="1" ht="12.75" x14ac:dyDescent="0.25">
      <c r="B16" s="1"/>
      <c r="D16" s="78" t="s">
        <v>62</v>
      </c>
      <c r="E16" s="1"/>
      <c r="F16" s="1"/>
      <c r="G16" s="1"/>
      <c r="H16" s="1"/>
    </row>
    <row r="17" spans="2:8" s="2" customFormat="1" ht="12.75" x14ac:dyDescent="0.25">
      <c r="B17" s="1"/>
      <c r="D17" s="78" t="s">
        <v>63</v>
      </c>
      <c r="E17" s="1"/>
      <c r="F17" s="1"/>
      <c r="G17" s="1"/>
      <c r="H17" s="1"/>
    </row>
    <row r="18" spans="2:8" s="2" customFormat="1" ht="12.75" x14ac:dyDescent="0.25">
      <c r="B18" s="1"/>
      <c r="D18" s="78" t="s">
        <v>64</v>
      </c>
      <c r="E18" s="1"/>
      <c r="F18" s="1"/>
      <c r="G18" s="1"/>
      <c r="H18" s="1"/>
    </row>
    <row r="20" spans="2:8" ht="22.5" customHeight="1" thickBot="1" x14ac:dyDescent="0.25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2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2.75" x14ac:dyDescent="0.25">
      <c r="B24" s="1"/>
      <c r="D24" s="78" t="s">
        <v>68</v>
      </c>
      <c r="E24" s="1"/>
      <c r="F24" s="1"/>
      <c r="G24" s="1"/>
      <c r="H24" s="1"/>
    </row>
    <row r="25" spans="2:8" s="2" customFormat="1" ht="12.75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5" customHeight="1" thickBot="1" x14ac:dyDescent="0.25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psycho</cp:lastModifiedBy>
  <cp:revision/>
  <dcterms:created xsi:type="dcterms:W3CDTF">2014-08-28T21:52:02Z</dcterms:created>
  <dcterms:modified xsi:type="dcterms:W3CDTF">2021-04-02T14:52:30Z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