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sycho\Nextcloud\cegep\2021_session_6_Hiver\Synthèse\"/>
    </mc:Choice>
  </mc:AlternateContent>
  <xr:revisionPtr revIDLastSave="0" documentId="13_ncr:1_{FC6ACE4E-9124-46C3-BEF8-0AD00A314DF4}" xr6:coauthVersionLast="46" xr6:coauthVersionMax="46" xr10:uidLastSave="{00000000-0000-0000-0000-000000000000}"/>
  <bookViews>
    <workbookView xWindow="-120" yWindow="-120" windowWidth="38640" windowHeight="21240" tabRatio="494" activeTab="4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P18" i="6" s="1"/>
  <c r="D17" i="6"/>
  <c r="C17" i="6"/>
  <c r="P17" i="6" s="1"/>
  <c r="D16" i="6"/>
  <c r="C16" i="6"/>
  <c r="P16" i="6" s="1"/>
  <c r="D15" i="6"/>
  <c r="C15" i="6"/>
  <c r="P15" i="6" s="1"/>
  <c r="D14" i="6"/>
  <c r="C14" i="6"/>
  <c r="P14" i="6" s="1"/>
  <c r="D13" i="6"/>
  <c r="C13" i="6"/>
  <c r="P13" i="6" s="1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l="1"/>
  <c r="B10" i="6"/>
  <c r="B10" i="3"/>
  <c r="M20" i="3"/>
  <c r="N20" i="3"/>
  <c r="M21" i="3"/>
  <c r="N21" i="3"/>
  <c r="M22" i="3"/>
  <c r="N22" i="3"/>
  <c r="O23" i="3"/>
  <c r="P23" i="3"/>
  <c r="O24" i="3"/>
  <c r="P24" i="3"/>
  <c r="O25" i="3"/>
  <c r="P25" i="3"/>
  <c r="M26" i="3"/>
  <c r="N26" i="3"/>
  <c r="M27" i="3"/>
  <c r="N27" i="3"/>
  <c r="M28" i="3"/>
  <c r="N28" i="3"/>
  <c r="M29" i="3"/>
  <c r="N29" i="3"/>
  <c r="M30" i="3"/>
  <c r="N30" i="3"/>
  <c r="O31" i="3"/>
  <c r="P31" i="3"/>
  <c r="O32" i="3"/>
  <c r="P32" i="3"/>
  <c r="O33" i="3"/>
  <c r="P33" i="3"/>
  <c r="M34" i="3"/>
  <c r="N34" i="3"/>
  <c r="M35" i="3"/>
  <c r="N35" i="3"/>
  <c r="M36" i="3"/>
  <c r="N36" i="3"/>
  <c r="M37" i="3"/>
  <c r="N37" i="3"/>
  <c r="M38" i="3"/>
  <c r="N38" i="3"/>
  <c r="O39" i="3"/>
  <c r="P39" i="3"/>
  <c r="O40" i="3"/>
  <c r="P40" i="3"/>
  <c r="O41" i="3"/>
  <c r="P41" i="3"/>
  <c r="M42" i="3"/>
  <c r="N42" i="3"/>
  <c r="M43" i="3"/>
  <c r="N43" i="3"/>
  <c r="P9" i="3"/>
  <c r="M9" i="3" s="1"/>
  <c r="P10" i="3"/>
  <c r="M10" i="3" s="1"/>
  <c r="S11" i="6" a="1"/>
  <c r="S9" i="6" a="1"/>
  <c r="M20" i="6"/>
  <c r="N20" i="6"/>
  <c r="M21" i="6"/>
  <c r="N21" i="6"/>
  <c r="M22" i="6"/>
  <c r="N22" i="6"/>
  <c r="M23" i="6"/>
  <c r="N23" i="6"/>
  <c r="M24" i="6"/>
  <c r="N24" i="6"/>
  <c r="M25" i="6"/>
  <c r="N25" i="6"/>
  <c r="M26" i="6"/>
  <c r="N26" i="6"/>
  <c r="M27" i="6"/>
  <c r="N27" i="6"/>
  <c r="M28" i="6"/>
  <c r="N28" i="6"/>
  <c r="M29" i="6"/>
  <c r="N29" i="6"/>
  <c r="M30" i="6"/>
  <c r="N30" i="6"/>
  <c r="M31" i="6"/>
  <c r="N31" i="6"/>
  <c r="M32" i="6"/>
  <c r="N32" i="6"/>
  <c r="M33" i="6"/>
  <c r="N33" i="6"/>
  <c r="M34" i="6"/>
  <c r="N34" i="6"/>
  <c r="M35" i="6"/>
  <c r="N35" i="6"/>
  <c r="M36" i="6"/>
  <c r="N36" i="6"/>
  <c r="M37" i="6"/>
  <c r="N37" i="6"/>
  <c r="M38" i="6"/>
  <c r="N38" i="6"/>
  <c r="M39" i="6"/>
  <c r="N39" i="6"/>
  <c r="M40" i="6"/>
  <c r="N40" i="6"/>
  <c r="M41" i="6"/>
  <c r="N41" i="6"/>
  <c r="M42" i="6"/>
  <c r="N42" i="6"/>
  <c r="M43" i="6"/>
  <c r="N43" i="6"/>
  <c r="M19" i="6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AD9" i="1"/>
  <c r="B10" i="1"/>
  <c r="N10" i="3" l="1"/>
  <c r="N9" i="3"/>
  <c r="B11" i="6"/>
  <c r="B11" i="3"/>
  <c r="M41" i="3"/>
  <c r="N41" i="3"/>
  <c r="M40" i="3"/>
  <c r="N40" i="3"/>
  <c r="M39" i="3"/>
  <c r="N39" i="3"/>
  <c r="M33" i="3"/>
  <c r="N33" i="3"/>
  <c r="M32" i="3"/>
  <c r="N32" i="3"/>
  <c r="M31" i="3"/>
  <c r="N31" i="3"/>
  <c r="M25" i="3"/>
  <c r="N25" i="3"/>
  <c r="N24" i="3"/>
  <c r="M24" i="3"/>
  <c r="M23" i="3"/>
  <c r="N23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6"/>
  <c r="B12" i="3"/>
  <c r="N44" i="3"/>
  <c r="M44" i="6"/>
  <c r="M44" i="3"/>
  <c r="N44" i="6"/>
  <c r="N11" i="4"/>
  <c r="E11" i="4" s="1"/>
  <c r="AH21" i="1"/>
  <c r="AE13" i="1"/>
  <c r="AE15" i="1" s="1"/>
  <c r="B12" i="2"/>
  <c r="L45" i="1"/>
  <c r="B11" i="2"/>
  <c r="K44" i="2"/>
  <c r="B13" i="1" l="1"/>
  <c r="B14" i="6" s="1"/>
  <c r="B13" i="3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/>
  <c r="B19" i="6" l="1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  <c r="T15" i="2" a="1"/>
  <c r="Q9" i="2" a="1"/>
  <c r="Q10" i="2" a="1"/>
  <c r="Q8" i="2" a="1"/>
  <c r="T15" i="2"/>
  <c r="L11" i="4" s="1"/>
  <c r="C11" i="4" s="1"/>
  <c r="Q9" i="2"/>
  <c r="R9" i="2" s="1"/>
  <c r="Q8" i="2"/>
  <c r="R8" i="2" s="1"/>
  <c r="Q10" i="2"/>
  <c r="R10" i="2" s="1"/>
  <c r="U15" i="2" l="1"/>
  <c r="G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<sst xmlns="http://schemas.openxmlformats.org/spreadsheetml/2006/main" count="168" uniqueCount="88">
  <si>
    <t>B65 - Projet Synthèse  |  Sprint 1  |  Planification</t>
  </si>
  <si>
    <t>Réalisé par</t>
  </si>
  <si>
    <t>Planification</t>
  </si>
  <si>
    <t>No</t>
  </si>
  <si>
    <t>Nom et description</t>
  </si>
  <si>
    <t>Prédéces.</t>
  </si>
  <si>
    <t>Ess / Opt</t>
  </si>
  <si>
    <t>Difficulté</t>
  </si>
  <si>
    <t>Temps</t>
  </si>
  <si>
    <t>Sprint</t>
  </si>
  <si>
    <t>-</t>
  </si>
  <si>
    <t>Valider le projet avec l'enseignant</t>
  </si>
  <si>
    <t>Essentielle</t>
  </si>
  <si>
    <t>Sprint 1</t>
  </si>
  <si>
    <t>r</t>
  </si>
  <si>
    <t>Réaliser les éléments de rédaction technique</t>
  </si>
  <si>
    <t>g</t>
  </si>
  <si>
    <t>Optionnelle</t>
  </si>
  <si>
    <t>Sprint 2</t>
  </si>
  <si>
    <t>Rédaction du document de conception</t>
  </si>
  <si>
    <t>b</t>
  </si>
  <si>
    <t>Sprint 3</t>
  </si>
  <si>
    <t>Rédaction du document de planification</t>
  </si>
  <si>
    <t>tâche</t>
  </si>
  <si>
    <t>heure</t>
  </si>
  <si>
    <t>minute</t>
  </si>
  <si>
    <t>B65 - Projet Synthèse  |  Sprint 1  |  Bilan</t>
  </si>
  <si>
    <t>Bilan des activités du Sprint 1</t>
  </si>
  <si>
    <t>Sprint prévu</t>
  </si>
  <si>
    <t>Avancement</t>
  </si>
  <si>
    <t>Commentaires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</si>
  <si>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</si>
  <si>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</si>
  <si>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</si>
  <si>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</si>
  <si>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</si>
  <si>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</si>
  <si>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Information sur le projet</t>
  </si>
  <si>
    <t>B65 - Projet Synthèse  |  Outil de planification et de suivi  |  Synthèse</t>
  </si>
  <si>
    <t>Répartition des tâches</t>
  </si>
  <si>
    <t>Total</t>
  </si>
  <si>
    <t>Nombre de tâches définies</t>
  </si>
  <si>
    <t>Nombre d'heures de travail envisagées</t>
  </si>
  <si>
    <t>Heures envisagées</t>
  </si>
  <si>
    <t>Tâches essentielles</t>
  </si>
  <si>
    <t>Plus facile</t>
  </si>
  <si>
    <t>Nombre d'heures de travail travaillées</t>
  </si>
  <si>
    <t>Heure travaillées</t>
  </si>
  <si>
    <t>Tâches optionnelles</t>
  </si>
  <si>
    <t>Intermédiaire</t>
  </si>
  <si>
    <t>Nombre de tâches non terminées</t>
  </si>
  <si>
    <t>Plus difficile</t>
  </si>
  <si>
    <t>Instructions concernant ce document</t>
  </si>
  <si>
    <t>B65 - Projet Synthèse  |  Outil de planification et de suivi</t>
  </si>
  <si>
    <t>Saisir les informations générales du document :</t>
  </si>
  <si>
    <t>Nom du projet.</t>
  </si>
  <si>
    <t>Nom de l'étudiant.</t>
  </si>
  <si>
    <t>Remplir le tableau des tâches :</t>
  </si>
  <si>
    <t>Nom de la tâche.</t>
  </si>
  <si>
    <t>Si pertinent, insérer une courte descirption technique de la tâche sous forme de commentaire.</t>
  </si>
  <si>
    <t>Si applicable, identifier la tâche préalable principale.</t>
  </si>
  <si>
    <t>Identifier si la tâche est essentielle ou optionnelle.</t>
  </si>
  <si>
    <t>Identifier le niveau de difficulté de la tâche (1 à 3).</t>
  </si>
  <si>
    <t>Estimer la charge de travail requise (estimation réaliste).</t>
  </si>
  <si>
    <t>Identifier pour quel Sprint la tâche devrait être terminée.</t>
  </si>
  <si>
    <t>Suivi des Sprint 1 à 3</t>
  </si>
  <si>
    <t>Saisir ces champs :</t>
  </si>
  <si>
    <t>Temps investi (uniquement pour le Sprint courant).</t>
  </si>
  <si>
    <t>Avancement total de la tâche en pourcentage.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</si>
  <si>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</si>
  <si>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</si>
  <si>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</si>
  <si>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</si>
  <si>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</si>
  <si>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Vers informatique</t>
  </si>
  <si>
    <t>Karl Boulais</t>
  </si>
  <si>
    <t>Intégrer la plateforme metasploit dans un programme c++</t>
  </si>
  <si>
    <t>Déployer des machines virtuelles à l'aide de Ansible dans proxmox</t>
  </si>
  <si>
    <t>Transmettre un «payload» à un serveur et l'exécuter</t>
  </si>
  <si>
    <t>Multiplication du programme</t>
  </si>
  <si>
    <t>Persistance (démarrer un service sur un port)</t>
  </si>
  <si>
    <t>Tester le fonctionnement de la vulnérabilité sur windows server</t>
  </si>
  <si>
    <t>Installer une machine virtuelle windows server</t>
  </si>
  <si>
    <t>Centre de commande écoute les requêtes</t>
  </si>
  <si>
    <t>Communiquer avec le centre de commande</t>
  </si>
  <si>
    <t>Déployé une base de donnée sql lite sur le centre de commande</t>
  </si>
  <si>
    <t>Montrer la base de donnée en ligne de commande</t>
  </si>
  <si>
    <t>Développer un gui pour le centre de commande à l'aide de 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</si>
</sst>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vertical="center"/>
      <protection locked="0" hidden="1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94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rgb="FFDCDEE0"/>
        </patternFill>
      </fill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8</c:v>
                </c:pt>
                <c:pt idx="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43.75</c:v>
                </c:pt>
                <c:pt idx="2">
                  <c:v>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2-4B5B-891F-A22F7A4BC3AA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6.75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A2-4B5B-891F-A22F7A4B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E9-4A4B-9732-8B11F31AF59C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E9-4A4B-9732-8B11F31AF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643-467F-BDFF-5B95CECF640F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7</c:v>
                </c:pt>
                <c:pt idx="1">
                  <c:v>6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43-467F-BDFF-5B95CECF640F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43-467F-BDFF-5B95CECF6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topLeftCell="A4" zoomScale="145" zoomScaleNormal="145" workbookViewId="0">
      <selection activeCell="H23" sqref="H23"/>
    </sheetView>
  </sheetViews>
  <sheetFormatPr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2" t="s">
        <v>74</v>
      </c>
      <c r="C2" s="122"/>
      <c r="D2" s="122"/>
      <c r="E2" s="122"/>
      <c r="F2" s="122"/>
      <c r="G2" s="122"/>
      <c r="H2" s="122"/>
    </row>
    <row r="3" spans="2:31" ht="15" customHeight="1" thickBot="1" x14ac:dyDescent="0.3">
      <c r="B3" s="25" t="s">
        <v>0</v>
      </c>
      <c r="C3" s="26"/>
      <c r="D3" s="27" t="s">
        <v>1</v>
      </c>
      <c r="E3" s="123" t="s">
        <v>75</v>
      </c>
      <c r="F3" s="123"/>
      <c r="G3" s="123"/>
      <c r="H3" s="123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2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16 tâches ont été définies totalisant 65 heures et 45 minutes de travail estimé.</v>
      </c>
    </row>
    <row r="6" spans="2:31" ht="7.5" customHeight="1" thickBot="1" x14ac:dyDescent="0.3"/>
    <row r="7" spans="2:31" ht="15" customHeight="1" x14ac:dyDescent="0.25">
      <c r="B7" s="117" t="s">
        <v>3</v>
      </c>
      <c r="C7" s="116" t="s">
        <v>4</v>
      </c>
      <c r="D7" s="118" t="s">
        <v>5</v>
      </c>
      <c r="E7" s="118" t="s">
        <v>6</v>
      </c>
      <c r="F7" s="118" t="s">
        <v>7</v>
      </c>
      <c r="G7" s="118" t="s">
        <v>8</v>
      </c>
      <c r="H7" s="120" t="s">
        <v>9</v>
      </c>
      <c r="T7" s="7" t="s">
        <v>10</v>
      </c>
    </row>
    <row r="8" spans="2:31" x14ac:dyDescent="0.25">
      <c r="B8" s="44">
        <v>1</v>
      </c>
      <c r="C8" s="12" t="s">
        <v>11</v>
      </c>
      <c r="D8" s="13" t="s">
        <v>10</v>
      </c>
      <c r="E8" s="14" t="s">
        <v>12</v>
      </c>
      <c r="F8" s="14">
        <v>1</v>
      </c>
      <c r="G8" s="30">
        <v>1.0416666666666666E-2</v>
      </c>
      <c r="H8" s="40" t="s">
        <v>13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14</v>
      </c>
      <c r="S8" s="23">
        <v>233</v>
      </c>
      <c r="T8" s="3">
        <v>1</v>
      </c>
      <c r="U8" s="3">
        <f>MAX(B8:B42)</f>
        <v>16</v>
      </c>
      <c r="V8" s="3" t="s">
        <v>12</v>
      </c>
      <c r="W8" s="3">
        <v>1</v>
      </c>
      <c r="X8" s="8">
        <v>0</v>
      </c>
      <c r="Y8" s="8">
        <f>MAX(G8:G42)</f>
        <v>0.83333333333334902</v>
      </c>
      <c r="Z8" s="3" t="s">
        <v>13</v>
      </c>
      <c r="AA8" s="3">
        <v>1</v>
      </c>
      <c r="AB8" s="22">
        <v>0</v>
      </c>
      <c r="AC8" s="4">
        <f>COUNTA(C8:C43)</f>
        <v>16</v>
      </c>
      <c r="AD8" s="9">
        <f>SUM(G8:G43)</f>
        <v>2.7395833333333517</v>
      </c>
    </row>
    <row r="9" spans="2:31" x14ac:dyDescent="0.25">
      <c r="B9" s="45">
        <f>IF(LEN(C9)&lt;&gt;0,IF(OR(LEN(B8)=0,B8="^"),"^",B8+1),"")</f>
        <v>2</v>
      </c>
      <c r="C9" s="15" t="s">
        <v>15</v>
      </c>
      <c r="D9" s="16">
        <v>1</v>
      </c>
      <c r="E9" s="16" t="s">
        <v>12</v>
      </c>
      <c r="F9" s="16">
        <v>1</v>
      </c>
      <c r="G9" s="31">
        <v>0.25</v>
      </c>
      <c r="H9" s="41" t="s">
        <v>13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16</v>
      </c>
      <c r="S9" s="23">
        <v>238</v>
      </c>
      <c r="T9" s="3">
        <v>2</v>
      </c>
      <c r="V9" s="3" t="s">
        <v>17</v>
      </c>
      <c r="W9" s="3">
        <v>2</v>
      </c>
      <c r="X9" s="8">
        <v>1.0416666666666666E-2</v>
      </c>
      <c r="Z9" s="3" t="s">
        <v>18</v>
      </c>
      <c r="AA9" s="3">
        <v>2</v>
      </c>
      <c r="AB9" s="22">
        <v>0.05</v>
      </c>
      <c r="AD9" s="10">
        <f>AD8</f>
        <v>2.7395833333333517</v>
      </c>
    </row>
    <row r="10" spans="2:31" x14ac:dyDescent="0.25">
      <c r="B10" s="44">
        <f>IF(LEN(C10)&lt;&gt;0,IF(OR(LEN(B9)=0,B9="^"),"^",B9+1),"")</f>
        <v>3</v>
      </c>
      <c r="C10" s="17" t="s">
        <v>19</v>
      </c>
      <c r="D10" s="18">
        <v>2</v>
      </c>
      <c r="E10" s="18" t="s">
        <v>12</v>
      </c>
      <c r="F10" s="18">
        <v>2</v>
      </c>
      <c r="G10" s="32">
        <v>0.22916666666666699</v>
      </c>
      <c r="H10" s="42" t="s">
        <v>13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20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21</v>
      </c>
      <c r="AA10" s="3">
        <v>3</v>
      </c>
      <c r="AB10" s="22">
        <v>0.1</v>
      </c>
      <c r="AD10" s="63">
        <f>DAY(AD8)*24+HOUR(AD8)</f>
        <v>65</v>
      </c>
    </row>
    <row r="11" spans="2:31" x14ac:dyDescent="0.25">
      <c r="B11" s="45">
        <f>IF(LEN(C11)&lt;&gt;0,IF(OR(LEN(B10)=0,B10="^"),"^",B10+1),"")</f>
        <v>4</v>
      </c>
      <c r="C11" s="15" t="s">
        <v>22</v>
      </c>
      <c r="D11" s="16">
        <v>3</v>
      </c>
      <c r="E11" s="16" t="s">
        <v>12</v>
      </c>
      <c r="F11" s="16">
        <v>2</v>
      </c>
      <c r="G11" s="31">
        <v>3.125E-2</v>
      </c>
      <c r="H11" s="41" t="s">
        <v>13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45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82</v>
      </c>
      <c r="D12" s="19">
        <v>4</v>
      </c>
      <c r="E12" s="18" t="s">
        <v>12</v>
      </c>
      <c r="F12" s="18">
        <v>1</v>
      </c>
      <c r="G12" s="32">
        <v>1.0416666666666666E-2</v>
      </c>
      <c r="H12" s="42" t="s">
        <v>18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14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23</v>
      </c>
      <c r="AD12" s="4">
        <f>AC8</f>
        <v>16</v>
      </c>
      <c r="AE12" s="4" t="str">
        <f>AD12 &amp; " " &amp; AC12 &amp; IF(AD12 &gt; 1, "s ont été définies", " a été définie")</f>
        <v>16 tâches ont été définies</v>
      </c>
    </row>
    <row r="13" spans="2:31" x14ac:dyDescent="0.25">
      <c r="B13" s="45">
        <f t="shared" si="5"/>
        <v>6</v>
      </c>
      <c r="C13" s="15" t="s">
        <v>81</v>
      </c>
      <c r="D13" s="16">
        <v>5</v>
      </c>
      <c r="E13" s="16" t="s">
        <v>12</v>
      </c>
      <c r="F13" s="16">
        <v>1</v>
      </c>
      <c r="G13" s="31">
        <v>8.3333333333333301E-2</v>
      </c>
      <c r="H13" s="41" t="s">
        <v>18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16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24</v>
      </c>
      <c r="AD13" s="4">
        <f>AD10</f>
        <v>65</v>
      </c>
      <c r="AE13" s="4" t="str">
        <f>AD13 &amp; " " &amp; AC13 &amp; IF(AD13 &gt; 1, "s", "")</f>
        <v>65 heures</v>
      </c>
    </row>
    <row r="14" spans="2:31" x14ac:dyDescent="0.25">
      <c r="B14" s="44">
        <f t="shared" si="5"/>
        <v>7</v>
      </c>
      <c r="C14" s="17" t="s">
        <v>76</v>
      </c>
      <c r="D14" s="19">
        <v>6</v>
      </c>
      <c r="E14" s="18" t="s">
        <v>12</v>
      </c>
      <c r="F14" s="18">
        <v>3</v>
      </c>
      <c r="G14" s="32">
        <v>0.83333333333334902</v>
      </c>
      <c r="H14" s="42" t="s">
        <v>18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20</v>
      </c>
      <c r="S14" s="23">
        <v>232</v>
      </c>
      <c r="T14" s="3">
        <v>7</v>
      </c>
      <c r="X14" s="8">
        <v>6.25E-2</v>
      </c>
      <c r="AB14" s="22">
        <v>0.3</v>
      </c>
      <c r="AC14" s="4" t="s">
        <v>25</v>
      </c>
      <c r="AD14" s="4">
        <f>AD11</f>
        <v>45</v>
      </c>
      <c r="AE14" s="4" t="str">
        <f>AD14 &amp; " " &amp; AC14 &amp; IF(AD14 &gt; 1, "s", "")</f>
        <v>45 minutes</v>
      </c>
    </row>
    <row r="15" spans="2:31" x14ac:dyDescent="0.25">
      <c r="B15" s="45">
        <f t="shared" si="5"/>
        <v>8</v>
      </c>
      <c r="C15" s="15" t="s">
        <v>78</v>
      </c>
      <c r="D15" s="16">
        <v>7</v>
      </c>
      <c r="E15" s="16" t="s">
        <v>12</v>
      </c>
      <c r="F15" s="16">
        <v>2</v>
      </c>
      <c r="G15" s="31">
        <v>0.16666666666666699</v>
      </c>
      <c r="H15" s="41" t="s">
        <v>18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65 heures et 45 minutes</v>
      </c>
    </row>
    <row r="16" spans="2:31" x14ac:dyDescent="0.25">
      <c r="B16" s="44">
        <f>IF(LEN(C16)&lt;&gt;0,IF(OR(LEN(B15)=0,B15="^"),"^",B15+1),"")</f>
        <v>9</v>
      </c>
      <c r="C16" s="15" t="s">
        <v>80</v>
      </c>
      <c r="D16" s="18">
        <v>8</v>
      </c>
      <c r="E16" s="18" t="s">
        <v>12</v>
      </c>
      <c r="F16" s="18">
        <v>2</v>
      </c>
      <c r="G16" s="32">
        <v>0.16666666666666699</v>
      </c>
      <c r="H16" s="42" t="s">
        <v>18</v>
      </c>
      <c r="L16" s="3" t="b">
        <f t="shared" ref="L16:P18" si="6">AND(NOT(ISBLANK($C16)),LEN(D16)=0)</f>
        <v>0</v>
      </c>
      <c r="M16" s="3" t="b">
        <f t="shared" si="6"/>
        <v>0</v>
      </c>
      <c r="N16" s="3" t="b">
        <f t="shared" si="6"/>
        <v>0</v>
      </c>
      <c r="O16" s="3" t="b">
        <f t="shared" si="6"/>
        <v>0</v>
      </c>
      <c r="P16" s="3" t="b">
        <f t="shared" si="6"/>
        <v>0</v>
      </c>
      <c r="R16" s="11" t="s">
        <v>14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>IF(LEN(C17)&lt;&gt;0,IF(OR(LEN(B16)=0,B16="^"),"^",B16+1),"")</f>
        <v>10</v>
      </c>
      <c r="C17" s="121" t="s">
        <v>83</v>
      </c>
      <c r="D17" s="16">
        <v>9</v>
      </c>
      <c r="E17" s="16" t="s">
        <v>12</v>
      </c>
      <c r="F17" s="16">
        <v>1</v>
      </c>
      <c r="G17" s="31">
        <v>6.25E-2</v>
      </c>
      <c r="H17" s="41" t="s">
        <v>18</v>
      </c>
      <c r="L17" s="3" t="b">
        <f t="shared" si="6"/>
        <v>0</v>
      </c>
      <c r="M17" s="3" t="b">
        <f t="shared" si="6"/>
        <v>0</v>
      </c>
      <c r="N17" s="3" t="b">
        <f t="shared" si="6"/>
        <v>0</v>
      </c>
      <c r="O17" s="3" t="b">
        <f t="shared" si="6"/>
        <v>0</v>
      </c>
      <c r="P17" s="3" t="b">
        <f t="shared" si="6"/>
        <v>0</v>
      </c>
      <c r="R17" s="11" t="s">
        <v>16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13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 x14ac:dyDescent="0.25">
      <c r="B18" s="44">
        <f>IF(LEN(C18)&lt;&gt;0,IF(OR(LEN(B17)=0,B17="^"),"^",B17+1),"")</f>
        <v>11</v>
      </c>
      <c r="C18" s="15" t="s">
        <v>84</v>
      </c>
      <c r="D18" s="18">
        <v>10</v>
      </c>
      <c r="E18" s="18" t="s">
        <v>12</v>
      </c>
      <c r="F18" s="18">
        <v>2</v>
      </c>
      <c r="G18" s="32">
        <v>8.3333333333333301E-2</v>
      </c>
      <c r="H18" s="42" t="s">
        <v>18</v>
      </c>
      <c r="L18" s="3" t="b">
        <f t="shared" si="6"/>
        <v>0</v>
      </c>
      <c r="M18" s="3" t="b">
        <f t="shared" si="6"/>
        <v>0</v>
      </c>
      <c r="N18" s="3" t="b">
        <f t="shared" si="6"/>
        <v>0</v>
      </c>
      <c r="O18" s="3" t="b">
        <f t="shared" si="6"/>
        <v>0</v>
      </c>
      <c r="P18" s="3" t="b">
        <f t="shared" si="6"/>
        <v>0</v>
      </c>
      <c r="R18" s="11" t="s">
        <v>20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18</v>
      </c>
      <c r="AD18" s="4">
        <f t="array" ref="AD18">SUM(($H$8:$H$42=$AC18)*$G$8:$G$42)</f>
        <v>1.8229166666666843</v>
      </c>
      <c r="AE18" s="4">
        <f>AD18 * 24*60</f>
        <v>2625.0000000000255</v>
      </c>
      <c r="AF18" s="4">
        <f t="shared" ref="AF18:AF19" si="7">DAY(AD18)*24+HOUR(AD18)</f>
        <v>43</v>
      </c>
      <c r="AG18" s="4">
        <f t="shared" ref="AG18:AG19" si="8">MINUTE(AD18)</f>
        <v>45</v>
      </c>
      <c r="AH18" s="4" t="str">
        <f t="shared" ref="AH18:AH19" si="9">AF18&amp;"h"&amp;TEXT(AG18,"00")</f>
        <v>43h45</v>
      </c>
      <c r="AJ18" s="4">
        <f>COUNTIF($H$8:$H$42,AC18)</f>
        <v>8</v>
      </c>
    </row>
    <row r="19" spans="2:36" x14ac:dyDescent="0.25">
      <c r="B19" s="45">
        <f t="shared" si="5"/>
        <v>12</v>
      </c>
      <c r="C19" s="17" t="s">
        <v>79</v>
      </c>
      <c r="D19" s="16">
        <v>11</v>
      </c>
      <c r="E19" s="16" t="s">
        <v>12</v>
      </c>
      <c r="F19" s="16">
        <v>3</v>
      </c>
      <c r="G19" s="31">
        <v>0.41666666666666802</v>
      </c>
      <c r="H19" s="41" t="s">
        <v>18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21</v>
      </c>
      <c r="AD19" s="4">
        <f t="array" ref="AD19">SUM(($H$8:$H$42=$AC19)*$G$8:$G$42)</f>
        <v>0.39583333333333359</v>
      </c>
      <c r="AE19" s="4">
        <f>AD19 * 24*60</f>
        <v>570.00000000000045</v>
      </c>
      <c r="AF19" s="4">
        <f t="shared" si="7"/>
        <v>9</v>
      </c>
      <c r="AG19" s="4">
        <f t="shared" si="8"/>
        <v>30</v>
      </c>
      <c r="AH19" s="4" t="str">
        <f t="shared" si="9"/>
        <v>9h30</v>
      </c>
      <c r="AJ19" s="4">
        <f>COUNTIF($H$8:$H$42,AC19)</f>
        <v>4</v>
      </c>
    </row>
    <row r="20" spans="2:36" x14ac:dyDescent="0.25">
      <c r="B20" s="44">
        <f t="shared" si="5"/>
        <v>13</v>
      </c>
      <c r="C20" s="15" t="s">
        <v>85</v>
      </c>
      <c r="D20" s="19">
        <v>12</v>
      </c>
      <c r="E20" s="18" t="s">
        <v>12</v>
      </c>
      <c r="F20" s="18">
        <v>1</v>
      </c>
      <c r="G20" s="32">
        <v>8.3333333333333301E-2</v>
      </c>
      <c r="H20" s="42" t="s">
        <v>21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5"/>
        <v>14</v>
      </c>
      <c r="C21" s="121" t="s">
        <v>86</v>
      </c>
      <c r="D21" s="16">
        <v>13</v>
      </c>
      <c r="E21" s="16" t="s">
        <v>12</v>
      </c>
      <c r="F21" s="16">
        <v>1</v>
      </c>
      <c r="G21" s="31">
        <v>6.25E-2</v>
      </c>
      <c r="H21" s="41" t="s">
        <v>21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2.7395833333333512</v>
      </c>
      <c r="AE21" s="4">
        <f t="shared" ref="AE21" si="10">AD21 * 24*60</f>
        <v>3945.0000000000255</v>
      </c>
      <c r="AF21" s="4">
        <f t="shared" ref="AF21" si="11">DAY(AD21)*24+HOUR(AD21)</f>
        <v>65</v>
      </c>
      <c r="AG21" s="4">
        <f t="shared" ref="AG21" si="12">MINUTE(AD21)</f>
        <v>45</v>
      </c>
      <c r="AH21" s="4" t="str">
        <f t="shared" ref="AH21" si="13">AF21&amp;"h"&amp;TEXT(AG21,"00")</f>
        <v>65h45</v>
      </c>
    </row>
    <row r="22" spans="2:36" x14ac:dyDescent="0.25">
      <c r="B22" s="44">
        <f>IF(LEN(C22)&lt;&gt;0,IF(OR(LEN(B21)=0,B21="^"),"^",B21+1),"")</f>
        <v>15</v>
      </c>
      <c r="C22" s="17" t="s">
        <v>77</v>
      </c>
      <c r="D22" s="18">
        <v>14</v>
      </c>
      <c r="E22" s="18" t="s">
        <v>12</v>
      </c>
      <c r="F22" s="18">
        <v>2</v>
      </c>
      <c r="G22" s="32">
        <v>8.3333333333333301E-2</v>
      </c>
      <c r="H22" s="42" t="s">
        <v>21</v>
      </c>
      <c r="L22" s="3" t="b">
        <f>AND(NOT(ISBLANK($C22)),LEN(D22)=0)</f>
        <v>0</v>
      </c>
      <c r="M22" s="3" t="b">
        <f>AND(NOT(ISBLANK($C22)),LEN(E22)=0)</f>
        <v>0</v>
      </c>
      <c r="N22" s="3" t="b">
        <f>AND(NOT(ISBLANK($C22)),LEN(F22)=0)</f>
        <v>0</v>
      </c>
      <c r="O22" s="3" t="b">
        <f>AND(NOT(ISBLANK($C22)),LEN(G22)=0)</f>
        <v>0</v>
      </c>
      <c r="P22" s="3" t="b">
        <f>AND(NOT(ISBLANK($C22)),LEN(H22)=0)</f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5"/>
        <v>16</v>
      </c>
      <c r="C23" s="121" t="s">
        <v>87</v>
      </c>
      <c r="D23" s="16">
        <v>15</v>
      </c>
      <c r="E23" s="16" t="s">
        <v>12</v>
      </c>
      <c r="F23" s="16">
        <v>3</v>
      </c>
      <c r="G23" s="31">
        <v>0.16666666666666699</v>
      </c>
      <c r="H23" s="41" t="s">
        <v>21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 t="str">
        <f t="shared" si="5"/>
        <v/>
      </c>
      <c r="C24" s="17"/>
      <c r="D24" s="19"/>
      <c r="E24" s="18"/>
      <c r="F24" s="18"/>
      <c r="G24" s="32"/>
      <c r="H24" s="42"/>
      <c r="L24" s="3" t="b">
        <f t="shared" si="0"/>
        <v>0</v>
      </c>
      <c r="M24" s="3" t="b">
        <f t="shared" ref="M24:M42" si="14">AND(NOT(ISBLANK($C24)),LEN(E24)=0)</f>
        <v>0</v>
      </c>
      <c r="N24" s="3" t="b">
        <f t="shared" ref="N24:N42" si="15">AND(NOT(ISBLANK($C24)),LEN(F24)=0)</f>
        <v>0</v>
      </c>
      <c r="O24" s="3" t="b">
        <f t="shared" ref="O24:O42" si="16">AND(NOT(ISBLANK($C24)),LEN(G24)=0)</f>
        <v>0</v>
      </c>
      <c r="P24" s="3" t="b">
        <f t="shared" ref="P24:P42" si="17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 t="str">
        <f t="shared" si="5"/>
        <v/>
      </c>
      <c r="C25" s="15"/>
      <c r="D25" s="16"/>
      <c r="E25" s="16"/>
      <c r="F25" s="16"/>
      <c r="G25" s="31"/>
      <c r="H25" s="41"/>
      <c r="L25" s="3" t="b">
        <f t="shared" si="0"/>
        <v>0</v>
      </c>
      <c r="M25" s="3" t="b">
        <f t="shared" si="14"/>
        <v>0</v>
      </c>
      <c r="N25" s="3" t="b">
        <f t="shared" si="15"/>
        <v>0</v>
      </c>
      <c r="O25" s="3" t="b">
        <f t="shared" si="16"/>
        <v>0</v>
      </c>
      <c r="P25" s="3" t="b">
        <f t="shared" si="17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 t="str">
        <f t="shared" si="5"/>
        <v/>
      </c>
      <c r="C26" s="17"/>
      <c r="D26" s="19"/>
      <c r="E26" s="18"/>
      <c r="F26" s="18"/>
      <c r="G26" s="32"/>
      <c r="H26" s="42"/>
      <c r="L26" s="3" t="b">
        <f t="shared" si="0"/>
        <v>0</v>
      </c>
      <c r="M26" s="3" t="b">
        <f t="shared" si="14"/>
        <v>0</v>
      </c>
      <c r="N26" s="3" t="b">
        <f t="shared" si="15"/>
        <v>0</v>
      </c>
      <c r="O26" s="3" t="b">
        <f t="shared" si="16"/>
        <v>0</v>
      </c>
      <c r="P26" s="3" t="b">
        <f t="shared" si="17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 t="str">
        <f t="shared" si="5"/>
        <v/>
      </c>
      <c r="C27" s="15"/>
      <c r="D27" s="16"/>
      <c r="E27" s="16"/>
      <c r="F27" s="16"/>
      <c r="G27" s="31"/>
      <c r="H27" s="41"/>
      <c r="L27" s="3" t="b">
        <f t="shared" si="0"/>
        <v>0</v>
      </c>
      <c r="M27" s="3" t="b">
        <f t="shared" si="14"/>
        <v>0</v>
      </c>
      <c r="N27" s="3" t="b">
        <f t="shared" si="15"/>
        <v>0</v>
      </c>
      <c r="O27" s="3" t="b">
        <f t="shared" si="16"/>
        <v>0</v>
      </c>
      <c r="P27" s="3" t="b">
        <f t="shared" si="17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 t="str">
        <f t="shared" si="5"/>
        <v/>
      </c>
      <c r="C28" s="17"/>
      <c r="D28" s="18"/>
      <c r="E28" s="18"/>
      <c r="F28" s="18"/>
      <c r="G28" s="32"/>
      <c r="H28" s="42"/>
      <c r="L28" s="3" t="b">
        <f t="shared" si="0"/>
        <v>0</v>
      </c>
      <c r="M28" s="3" t="b">
        <f t="shared" si="14"/>
        <v>0</v>
      </c>
      <c r="N28" s="3" t="b">
        <f t="shared" si="15"/>
        <v>0</v>
      </c>
      <c r="O28" s="3" t="b">
        <f t="shared" si="16"/>
        <v>0</v>
      </c>
      <c r="P28" s="3" t="b">
        <f t="shared" si="17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 t="str">
        <f t="shared" si="5"/>
        <v/>
      </c>
      <c r="C29" s="15"/>
      <c r="D29" s="16"/>
      <c r="E29" s="16"/>
      <c r="F29" s="16"/>
      <c r="G29" s="31"/>
      <c r="H29" s="41"/>
      <c r="L29" s="3" t="b">
        <f t="shared" si="0"/>
        <v>0</v>
      </c>
      <c r="M29" s="3" t="b">
        <f t="shared" si="14"/>
        <v>0</v>
      </c>
      <c r="N29" s="3" t="b">
        <f t="shared" si="15"/>
        <v>0</v>
      </c>
      <c r="O29" s="3" t="b">
        <f t="shared" si="16"/>
        <v>0</v>
      </c>
      <c r="P29" s="3" t="b">
        <f t="shared" si="17"/>
        <v>0</v>
      </c>
      <c r="T29" s="3">
        <v>22</v>
      </c>
      <c r="X29" s="8">
        <v>0.21875</v>
      </c>
    </row>
    <row r="30" spans="2:36" x14ac:dyDescent="0.25">
      <c r="B30" s="44" t="str">
        <f t="shared" si="5"/>
        <v/>
      </c>
      <c r="C30" s="17"/>
      <c r="D30" s="19"/>
      <c r="E30" s="18"/>
      <c r="F30" s="18"/>
      <c r="G30" s="32"/>
      <c r="H30" s="42"/>
      <c r="L30" s="3" t="b">
        <f t="shared" si="0"/>
        <v>0</v>
      </c>
      <c r="M30" s="3" t="b">
        <f t="shared" si="14"/>
        <v>0</v>
      </c>
      <c r="N30" s="3" t="b">
        <f t="shared" si="15"/>
        <v>0</v>
      </c>
      <c r="O30" s="3" t="b">
        <f t="shared" si="16"/>
        <v>0</v>
      </c>
      <c r="P30" s="3" t="b">
        <f t="shared" si="17"/>
        <v>0</v>
      </c>
      <c r="T30" s="3">
        <v>23</v>
      </c>
      <c r="X30" s="8">
        <v>0.22916666666666699</v>
      </c>
    </row>
    <row r="31" spans="2:36" x14ac:dyDescent="0.25">
      <c r="B31" s="45" t="str">
        <f t="shared" si="5"/>
        <v/>
      </c>
      <c r="C31" s="15"/>
      <c r="D31" s="16"/>
      <c r="E31" s="16"/>
      <c r="F31" s="16"/>
      <c r="G31" s="31"/>
      <c r="H31" s="41"/>
      <c r="L31" s="3" t="b">
        <f t="shared" si="0"/>
        <v>0</v>
      </c>
      <c r="M31" s="3" t="b">
        <f t="shared" si="14"/>
        <v>0</v>
      </c>
      <c r="N31" s="3" t="b">
        <f t="shared" si="15"/>
        <v>0</v>
      </c>
      <c r="O31" s="3" t="b">
        <f t="shared" si="16"/>
        <v>0</v>
      </c>
      <c r="P31" s="3" t="b">
        <f t="shared" si="17"/>
        <v>0</v>
      </c>
      <c r="T31" s="3">
        <v>24</v>
      </c>
      <c r="X31" s="8">
        <v>0.23958333333333301</v>
      </c>
    </row>
    <row r="32" spans="2:36" x14ac:dyDescent="0.25">
      <c r="B32" s="44" t="str">
        <f t="shared" si="5"/>
        <v/>
      </c>
      <c r="C32" s="17"/>
      <c r="D32" s="19"/>
      <c r="E32" s="18"/>
      <c r="F32" s="18"/>
      <c r="G32" s="32"/>
      <c r="H32" s="42"/>
      <c r="L32" s="3" t="b">
        <f t="shared" si="0"/>
        <v>0</v>
      </c>
      <c r="M32" s="3" t="b">
        <f t="shared" si="14"/>
        <v>0</v>
      </c>
      <c r="N32" s="3" t="b">
        <f t="shared" si="15"/>
        <v>0</v>
      </c>
      <c r="O32" s="3" t="b">
        <f t="shared" si="16"/>
        <v>0</v>
      </c>
      <c r="P32" s="3" t="b">
        <f t="shared" si="17"/>
        <v>0</v>
      </c>
      <c r="T32" s="3">
        <v>25</v>
      </c>
      <c r="X32" s="8">
        <v>0.25</v>
      </c>
    </row>
    <row r="33" spans="2:24" x14ac:dyDescent="0.25">
      <c r="B33" s="45" t="str">
        <f t="shared" si="5"/>
        <v/>
      </c>
      <c r="C33" s="15"/>
      <c r="D33" s="16"/>
      <c r="E33" s="16"/>
      <c r="F33" s="16"/>
      <c r="G33" s="31"/>
      <c r="H33" s="41"/>
      <c r="L33" s="3" t="b">
        <f t="shared" si="0"/>
        <v>0</v>
      </c>
      <c r="M33" s="3" t="b">
        <f t="shared" si="14"/>
        <v>0</v>
      </c>
      <c r="N33" s="3" t="b">
        <f t="shared" si="15"/>
        <v>0</v>
      </c>
      <c r="O33" s="3" t="b">
        <f t="shared" si="16"/>
        <v>0</v>
      </c>
      <c r="P33" s="3" t="b">
        <f t="shared" si="17"/>
        <v>0</v>
      </c>
      <c r="T33" s="3">
        <v>26</v>
      </c>
      <c r="X33" s="8">
        <v>0.26041666666666702</v>
      </c>
    </row>
    <row r="34" spans="2:24" x14ac:dyDescent="0.25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0"/>
        <v>0</v>
      </c>
      <c r="M34" s="3" t="b">
        <f t="shared" si="14"/>
        <v>0</v>
      </c>
      <c r="N34" s="3" t="b">
        <f t="shared" si="15"/>
        <v>0</v>
      </c>
      <c r="O34" s="3" t="b">
        <f t="shared" si="16"/>
        <v>0</v>
      </c>
      <c r="P34" s="3" t="b">
        <f t="shared" si="17"/>
        <v>0</v>
      </c>
      <c r="T34" s="3">
        <v>27</v>
      </c>
      <c r="X34" s="8">
        <v>0.27083333333333298</v>
      </c>
    </row>
    <row r="35" spans="2:24" x14ac:dyDescent="0.25">
      <c r="B35" s="45" t="str">
        <f t="shared" si="5"/>
        <v/>
      </c>
      <c r="C35" s="15"/>
      <c r="D35" s="16"/>
      <c r="E35" s="16"/>
      <c r="F35" s="16"/>
      <c r="G35" s="31"/>
      <c r="H35" s="41"/>
      <c r="L35" s="3" t="b">
        <f t="shared" si="0"/>
        <v>0</v>
      </c>
      <c r="M35" s="3" t="b">
        <f t="shared" si="14"/>
        <v>0</v>
      </c>
      <c r="N35" s="3" t="b">
        <f t="shared" si="15"/>
        <v>0</v>
      </c>
      <c r="O35" s="3" t="b">
        <f t="shared" si="16"/>
        <v>0</v>
      </c>
      <c r="P35" s="3" t="b">
        <f t="shared" si="17"/>
        <v>0</v>
      </c>
      <c r="T35" s="3">
        <v>28</v>
      </c>
      <c r="X35" s="8">
        <v>0.28125</v>
      </c>
    </row>
    <row r="36" spans="2:24" x14ac:dyDescent="0.25">
      <c r="B36" s="44" t="str">
        <f t="shared" si="5"/>
        <v/>
      </c>
      <c r="C36" s="17"/>
      <c r="D36" s="19"/>
      <c r="E36" s="18"/>
      <c r="F36" s="18"/>
      <c r="G36" s="32"/>
      <c r="H36" s="42"/>
      <c r="L36" s="3" t="b">
        <f t="shared" si="0"/>
        <v>0</v>
      </c>
      <c r="M36" s="3" t="b">
        <f t="shared" si="14"/>
        <v>0</v>
      </c>
      <c r="N36" s="3" t="b">
        <f t="shared" si="15"/>
        <v>0</v>
      </c>
      <c r="O36" s="3" t="b">
        <f t="shared" si="16"/>
        <v>0</v>
      </c>
      <c r="P36" s="3" t="b">
        <f t="shared" si="17"/>
        <v>0</v>
      </c>
      <c r="T36" s="3">
        <v>29</v>
      </c>
      <c r="X36" s="8">
        <v>0.29166666666666702</v>
      </c>
    </row>
    <row r="37" spans="2:24" x14ac:dyDescent="0.25">
      <c r="B37" s="45" t="str">
        <f t="shared" si="5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14"/>
        <v>0</v>
      </c>
      <c r="N37" s="3" t="b">
        <f t="shared" si="15"/>
        <v>0</v>
      </c>
      <c r="O37" s="3" t="b">
        <f t="shared" si="16"/>
        <v>0</v>
      </c>
      <c r="P37" s="3" t="b">
        <f t="shared" si="17"/>
        <v>0</v>
      </c>
      <c r="T37" s="3">
        <v>30</v>
      </c>
      <c r="X37" s="8">
        <v>0.30208333333333298</v>
      </c>
    </row>
    <row r="38" spans="2:24" x14ac:dyDescent="0.25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4"/>
        <v>0</v>
      </c>
      <c r="N38" s="3" t="b">
        <f t="shared" si="15"/>
        <v>0</v>
      </c>
      <c r="O38" s="3" t="b">
        <f t="shared" si="16"/>
        <v>0</v>
      </c>
      <c r="P38" s="3" t="b">
        <f t="shared" si="17"/>
        <v>0</v>
      </c>
      <c r="T38" s="3">
        <v>31</v>
      </c>
      <c r="X38" s="8">
        <v>0.3125</v>
      </c>
    </row>
    <row r="39" spans="2:24" x14ac:dyDescent="0.25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4"/>
        <v>0</v>
      </c>
      <c r="N39" s="3" t="b">
        <f t="shared" si="15"/>
        <v>0</v>
      </c>
      <c r="O39" s="3" t="b">
        <f t="shared" si="16"/>
        <v>0</v>
      </c>
      <c r="P39" s="3" t="b">
        <f t="shared" si="17"/>
        <v>0</v>
      </c>
      <c r="T39" s="3">
        <v>32</v>
      </c>
      <c r="X39" s="8">
        <v>0.32291666666666702</v>
      </c>
    </row>
    <row r="40" spans="2:24" x14ac:dyDescent="0.25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4"/>
        <v>0</v>
      </c>
      <c r="N40" s="3" t="b">
        <f t="shared" si="15"/>
        <v>0</v>
      </c>
      <c r="O40" s="3" t="b">
        <f t="shared" si="16"/>
        <v>0</v>
      </c>
      <c r="P40" s="3" t="b">
        <f t="shared" si="17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4"/>
        <v>0</v>
      </c>
      <c r="N41" s="3" t="b">
        <f t="shared" si="15"/>
        <v>0</v>
      </c>
      <c r="O41" s="3" t="b">
        <f t="shared" si="16"/>
        <v>0</v>
      </c>
      <c r="P41" s="3" t="b">
        <f t="shared" si="17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4"/>
        <v>0</v>
      </c>
      <c r="N42" s="3" t="b">
        <f t="shared" si="15"/>
        <v>0</v>
      </c>
      <c r="O42" s="3" t="b">
        <f t="shared" si="16"/>
        <v>0</v>
      </c>
      <c r="P42" s="3" t="b">
        <f t="shared" si="17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8">COUNTIF(M8:M42,TRUE)</f>
        <v>0</v>
      </c>
      <c r="N43" s="3">
        <f t="shared" si="18"/>
        <v>0</v>
      </c>
      <c r="O43" s="3">
        <f t="shared" si="18"/>
        <v>0</v>
      </c>
      <c r="P43" s="3">
        <f t="shared" si="18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22:H22 B12:B21 D19:H21 B24:H42 B23 D23:H23">
    <cfRule type="expression" dxfId="93" priority="27">
      <formula>$E8="Optionnelle"</formula>
    </cfRule>
    <cfRule type="expression" dxfId="92" priority="29">
      <formula>$E8="Essentielle"</formula>
    </cfRule>
  </conditionalFormatting>
  <conditionalFormatting sqref="F8 F10 F20 F22 F24 F26 F28 F30 F32 F34 F36 F38 F40 F42">
    <cfRule type="expression" dxfId="91" priority="37">
      <formula>$F8=3</formula>
    </cfRule>
    <cfRule type="expression" dxfId="90" priority="39">
      <formula>$F8=2</formula>
    </cfRule>
    <cfRule type="expression" dxfId="89" priority="41">
      <formula>$F8=1</formula>
    </cfRule>
  </conditionalFormatting>
  <conditionalFormatting sqref="F9 F11 F37 F39 F41 F33:F35 F31 F21:F27 F29 F19">
    <cfRule type="expression" dxfId="88" priority="36">
      <formula>$F9=3</formula>
    </cfRule>
    <cfRule type="expression" dxfId="87" priority="38">
      <formula>$F9=2</formula>
    </cfRule>
    <cfRule type="expression" dxfId="86" priority="40">
      <formula>$F9=1</formula>
    </cfRule>
  </conditionalFormatting>
  <conditionalFormatting sqref="G10 G8 G20 G22 G24 G26 G28 G30 G32 G34 G36 G38 G40 G42">
    <cfRule type="dataBar" priority="3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34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85" priority="33">
      <formula>L8</formula>
    </cfRule>
  </conditionalFormatting>
  <conditionalFormatting sqref="H8:H11 H19:H42">
    <cfRule type="expression" dxfId="84" priority="32">
      <formula>$P8</formula>
    </cfRule>
  </conditionalFormatting>
  <conditionalFormatting sqref="H5">
    <cfRule type="expression" dxfId="83" priority="31">
      <formula>$L$44&gt;0</formula>
    </cfRule>
  </conditionalFormatting>
  <conditionalFormatting sqref="B9:H9 B11:H11 B13 B15 B19 B21 B23 B25:H25 B27:H27 B29:H29 B31:H31 B33:H33 B35:H35 B37:H37 B39:H39 B41:H41 B17 D19:H19 D21:H21 D23:H23">
    <cfRule type="expression" dxfId="82" priority="54">
      <formula>LEN($B9)=0</formula>
    </cfRule>
  </conditionalFormatting>
  <conditionalFormatting sqref="B8:H8 B10:H10 B12 B14 B16 B20 B22:H22 B24:H24 B26:H26 B28:H28 B30:H30 B32:H32 B34:H34 B36:H36 B38:H38 B40:H40 B42:H42 B18 D20:H20">
    <cfRule type="expression" dxfId="81" priority="30">
      <formula>LEN($B8)=0</formula>
    </cfRule>
  </conditionalFormatting>
  <conditionalFormatting sqref="C12:H16 D17:H18">
    <cfRule type="expression" dxfId="80" priority="13">
      <formula>$E12="Optionnelle"</formula>
    </cfRule>
    <cfRule type="expression" dxfId="79" priority="14">
      <formula>$E12="Essentielle"</formula>
    </cfRule>
  </conditionalFormatting>
  <conditionalFormatting sqref="F12 F14 F16 F18">
    <cfRule type="expression" dxfId="78" priority="21">
      <formula>$F12=3</formula>
    </cfRule>
    <cfRule type="expression" dxfId="77" priority="23">
      <formula>$F12=2</formula>
    </cfRule>
    <cfRule type="expression" dxfId="76" priority="25">
      <formula>$F12=1</formula>
    </cfRule>
  </conditionalFormatting>
  <conditionalFormatting sqref="F13:F18">
    <cfRule type="expression" dxfId="75" priority="20">
      <formula>$F13=3</formula>
    </cfRule>
    <cfRule type="expression" dxfId="74" priority="22">
      <formula>$F13=2</formula>
    </cfRule>
    <cfRule type="expression" dxfId="73" priority="24">
      <formula>$F13=1</formula>
    </cfRule>
  </conditionalFormatting>
  <conditionalFormatting sqref="G12 G14 G16 G18">
    <cfRule type="dataBar" priority="19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18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72" priority="17">
      <formula>L12</formula>
    </cfRule>
  </conditionalFormatting>
  <conditionalFormatting sqref="H12:H18">
    <cfRule type="expression" dxfId="71" priority="16">
      <formula>$P12</formula>
    </cfRule>
  </conditionalFormatting>
  <conditionalFormatting sqref="C13:H13 C15:H15 D17:H17">
    <cfRule type="expression" dxfId="70" priority="26">
      <formula>LEN($B13)=0</formula>
    </cfRule>
  </conditionalFormatting>
  <conditionalFormatting sqref="C12:H12 C14:H14 C16:H16 D18:H18">
    <cfRule type="expression" dxfId="69" priority="15">
      <formula>LEN($B12)=0</formula>
    </cfRule>
  </conditionalFormatting>
  <conditionalFormatting sqref="C16">
    <cfRule type="expression" dxfId="68" priority="12">
      <formula>LEN($B16)=0</formula>
    </cfRule>
  </conditionalFormatting>
  <conditionalFormatting sqref="C17">
    <cfRule type="expression" dxfId="67" priority="10">
      <formula>$E19="Optionnelle"</formula>
    </cfRule>
    <cfRule type="expression" dxfId="66" priority="11">
      <formula>$E19="Essentielle"</formula>
    </cfRule>
  </conditionalFormatting>
  <conditionalFormatting sqref="C18">
    <cfRule type="expression" dxfId="65" priority="7">
      <formula>$E20="Optionnelle"</formula>
    </cfRule>
    <cfRule type="expression" dxfId="64" priority="8">
      <formula>$E20="Essentielle"</formula>
    </cfRule>
  </conditionalFormatting>
  <conditionalFormatting sqref="C18">
    <cfRule type="expression" dxfId="63" priority="9">
      <formula>LEN($B20)=0</formula>
    </cfRule>
  </conditionalFormatting>
  <conditionalFormatting sqref="C19">
    <cfRule type="expression" dxfId="62" priority="4">
      <formula>$E19="Optionnelle"</formula>
    </cfRule>
    <cfRule type="expression" dxfId="61" priority="5">
      <formula>$E19="Essentielle"</formula>
    </cfRule>
  </conditionalFormatting>
  <conditionalFormatting sqref="C19">
    <cfRule type="expression" dxfId="60" priority="6">
      <formula>LEN($B19)=0</formula>
    </cfRule>
  </conditionalFormatting>
  <conditionalFormatting sqref="C20">
    <cfRule type="expression" dxfId="59" priority="1">
      <formula>$E21="Optionnelle"</formula>
    </cfRule>
    <cfRule type="expression" dxfId="58" priority="2">
      <formula>$E21="Essentielle"</formula>
    </cfRule>
  </conditionalFormatting>
  <conditionalFormatting sqref="C20">
    <cfRule type="expression" dxfId="57" priority="3">
      <formula>LEN($B21)=0</formula>
    </cfRule>
  </conditionalFormatting>
  <dataValidations xWindow="845" yWindow="727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workbookViewId="0">
      <selection activeCell="G28" sqref="G28"/>
    </sheetView>
  </sheetViews>
  <sheetFormatPr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4" t="str">
        <f>'Sprint 1 - Planification'!B2:H2</f>
        <v>Vers informatique</v>
      </c>
      <c r="C2" s="124"/>
      <c r="D2" s="124"/>
      <c r="E2" s="124"/>
      <c r="F2" s="124"/>
      <c r="G2" s="124"/>
    </row>
    <row r="3" spans="2:23" x14ac:dyDescent="0.25">
      <c r="B3" s="20" t="s">
        <v>26</v>
      </c>
      <c r="C3" s="21"/>
      <c r="D3" s="33"/>
      <c r="E3" s="33"/>
      <c r="F3" s="125"/>
      <c r="G3" s="125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27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6 heures et 45 minutes de travail réalisé. </v>
      </c>
    </row>
    <row r="6" spans="2:23" ht="7.5" customHeight="1" thickBot="1" x14ac:dyDescent="0.3"/>
    <row r="7" spans="2:23" x14ac:dyDescent="0.25">
      <c r="B7" s="117" t="s">
        <v>3</v>
      </c>
      <c r="C7" s="116" t="s">
        <v>4</v>
      </c>
      <c r="D7" s="118" t="s">
        <v>28</v>
      </c>
      <c r="E7" s="117" t="s">
        <v>8</v>
      </c>
      <c r="F7" s="118" t="s">
        <v>29</v>
      </c>
      <c r="G7" s="120" t="s">
        <v>30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3">
        <v>1.0416666666666666E-2</v>
      </c>
      <c r="F8" s="104">
        <v>1</v>
      </c>
      <c r="G8" s="105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13</v>
      </c>
      <c r="Q8" s="61">
        <f t="array" ref="Q8">SUM(($D$8:$D$42=$P8)*$E$8:$E$42)</f>
        <v>0.28125000000000028</v>
      </c>
      <c r="R8" s="62">
        <f>Q8*24*60</f>
        <v>405.00000000000045</v>
      </c>
      <c r="T8" s="9">
        <f>SUM(E8:E42)</f>
        <v>0.28125000000000028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06">
        <v>8.3333333333333301E-2</v>
      </c>
      <c r="F9" s="107">
        <v>1</v>
      </c>
      <c r="G9" s="108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18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0.28125000000000028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09">
        <v>0.16666666666666699</v>
      </c>
      <c r="F10" s="110">
        <v>1</v>
      </c>
      <c r="G10" s="111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21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6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06">
        <v>2.0833333333333301E-2</v>
      </c>
      <c r="F11" s="107">
        <v>1</v>
      </c>
      <c r="G11" s="108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45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Installer une machine virtuelle windows server</v>
      </c>
      <c r="D12" s="56" t="str">
        <f>IF(LEN('Sprint 1 - Planification'!H12)&lt;&gt;0,'Sprint 1 - Planification'!H12,"")</f>
        <v>Sprint 2</v>
      </c>
      <c r="E12" s="112"/>
      <c r="F12" s="110"/>
      <c r="G12" s="111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24</v>
      </c>
      <c r="T12" s="63">
        <f>T10</f>
        <v>6</v>
      </c>
      <c r="U12" s="4" t="str">
        <f>T12 &amp; " " &amp; S12 &amp; IF(T12 &gt; 1, "s", "")</f>
        <v>6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Tester le fonctionnement de la vulnérabilité sur windows server</v>
      </c>
      <c r="D13" s="52" t="str">
        <f>IF(LEN('Sprint 1 - Planification'!H13)&lt;&gt;0,'Sprint 1 - Planification'!H13,"")</f>
        <v>Sprint 2</v>
      </c>
      <c r="E13" s="106"/>
      <c r="F13" s="107"/>
      <c r="G13" s="108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25</v>
      </c>
      <c r="T13" s="4">
        <f>T11</f>
        <v>45</v>
      </c>
      <c r="U13" s="4" t="str">
        <f>T13 &amp; " " &amp; S13 &amp; IF(T13 &gt; 1, "s", "")</f>
        <v>45 minutes</v>
      </c>
    </row>
    <row r="14" spans="2:23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Intégrer la plateforme metasploit dans un programme c++</v>
      </c>
      <c r="D14" s="56" t="str">
        <f>IF(LEN('Sprint 1 - Planification'!H14)&lt;&gt;0,'Sprint 1 - Planification'!H14,"")</f>
        <v>Sprint 2</v>
      </c>
      <c r="E14" s="112"/>
      <c r="F14" s="110"/>
      <c r="G14" s="111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6 heures et 45 minutes</v>
      </c>
      <c r="W14" s="4" t="str">
        <f>T12&amp;"h"&amp;TEXT(T13,"00")</f>
        <v>6h45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Transmettre un «payload» à un serveur et l'exécuter</v>
      </c>
      <c r="D15" s="52" t="str">
        <f>IF(LEN('Sprint 1 - Planification'!H15)&lt;&gt;0,'Sprint 1 - Planification'!H15,"")</f>
        <v>Sprint 2</v>
      </c>
      <c r="E15" s="106"/>
      <c r="F15" s="107"/>
      <c r="G15" s="108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Persistance (démarrer un service sur un port)</v>
      </c>
      <c r="D16" s="55" t="str">
        <f>IF(LEN('Sprint 1 - Planification'!H16)&lt;&gt;0,'Sprint 1 - Planification'!H16,"")</f>
        <v>Sprint 2</v>
      </c>
      <c r="E16" s="109"/>
      <c r="F16" s="110"/>
      <c r="G16" s="111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Centre de commande écoute les requêtes</v>
      </c>
      <c r="D17" s="52" t="str">
        <f>IF(LEN('Sprint 1 - Planification'!H17)&lt;&gt;0,'Sprint 1 - Planification'!H17,"")</f>
        <v>Sprint 2</v>
      </c>
      <c r="E17" s="106"/>
      <c r="F17" s="107"/>
      <c r="G17" s="108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Communiquer avec le centre de commande</v>
      </c>
      <c r="D18" s="56" t="str">
        <f>IF(LEN('Sprint 1 - Planification'!H18)&lt;&gt;0,'Sprint 1 - Planification'!H18,"")</f>
        <v>Sprint 2</v>
      </c>
      <c r="E18" s="112"/>
      <c r="F18" s="110"/>
      <c r="G18" s="111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Multiplication du programme</v>
      </c>
      <c r="D19" s="52" t="str">
        <f>IF(LEN('Sprint 1 - Planification'!H19)&lt;&gt;0,'Sprint 1 - Planification'!H19,"")</f>
        <v>Sprint 2</v>
      </c>
      <c r="E19" s="106"/>
      <c r="F19" s="107"/>
      <c r="G19" s="108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Déployé une base de donnée sql lite sur le centre de commande</v>
      </c>
      <c r="D20" s="56" t="str">
        <f>IF(LEN('Sprint 1 - Planification'!H20)&lt;&gt;0,'Sprint 1 - Planification'!H20,"")</f>
        <v>Sprint 3</v>
      </c>
      <c r="E20" s="112"/>
      <c r="F20" s="110"/>
      <c r="G20" s="111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Montrer la base de donnée en ligne de commande</v>
      </c>
      <c r="D21" s="52" t="str">
        <f>IF(LEN('Sprint 1 - Planification'!H21)&lt;&gt;0,'Sprint 1 - Planification'!H21,"")</f>
        <v>Sprint 3</v>
      </c>
      <c r="E21" s="106"/>
      <c r="F21" s="107"/>
      <c r="G21" s="108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Déployer des machines virtuelles à l'aide de Ansible dans proxmox</v>
      </c>
      <c r="D22" s="55" t="str">
        <f>IF(LEN('Sprint 1 - Planification'!H22)&lt;&gt;0,'Sprint 1 - Planification'!H22,"")</f>
        <v>Sprint 3</v>
      </c>
      <c r="E22" s="109"/>
      <c r="F22" s="110"/>
      <c r="G22" s="111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Développer un gui pour le centre de commande à l'aide de Qt</v>
      </c>
      <c r="D23" s="52" t="str">
        <f>IF(LEN('Sprint 1 - Planification'!H23)&lt;&gt;0,'Sprint 1 - Planification'!H23,"")</f>
        <v>Sprint 3</v>
      </c>
      <c r="E23" s="106"/>
      <c r="F23" s="107"/>
      <c r="G23" s="108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 t="str">
        <f>IF(LEN('Sprint 1 - Planification'!B24)&lt;&gt;0,'Sprint 1 - Planification'!B24,"")</f>
        <v/>
      </c>
      <c r="C24" s="54" t="str">
        <f>IF(LEN('Sprint 1 - Planification'!C24)&lt;&gt;0,'Sprint 1 - Planification'!C24,"")</f>
        <v/>
      </c>
      <c r="D24" s="56" t="str">
        <f>IF(LEN('Sprint 1 - Planification'!H24)&lt;&gt;0,'Sprint 1 - Planification'!H24,"")</f>
        <v/>
      </c>
      <c r="E24" s="112"/>
      <c r="F24" s="110"/>
      <c r="G24" s="111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 t="str">
        <f>IF(LEN('Sprint 1 - Planification'!B25)&lt;&gt;0,'Sprint 1 - Planification'!B25,"")</f>
        <v/>
      </c>
      <c r="C25" s="51" t="str">
        <f>IF(LEN('Sprint 1 - Planification'!C25)&lt;&gt;0,'Sprint 1 - Planification'!C25,"")</f>
        <v/>
      </c>
      <c r="D25" s="52" t="str">
        <f>IF(LEN('Sprint 1 - Planification'!H25)&lt;&gt;0,'Sprint 1 - Planification'!H25,"")</f>
        <v/>
      </c>
      <c r="E25" s="106"/>
      <c r="F25" s="107"/>
      <c r="G25" s="108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 t="str">
        <f>IF(LEN('Sprint 1 - Planification'!B26)&lt;&gt;0,'Sprint 1 - Planification'!B26,"")</f>
        <v/>
      </c>
      <c r="C26" s="54" t="str">
        <f>IF(LEN('Sprint 1 - Planification'!C26)&lt;&gt;0,'Sprint 1 - Planification'!C26,"")</f>
        <v/>
      </c>
      <c r="D26" s="56" t="str">
        <f>IF(LEN('Sprint 1 - Planification'!H26)&lt;&gt;0,'Sprint 1 - Planification'!H26,"")</f>
        <v/>
      </c>
      <c r="E26" s="112"/>
      <c r="F26" s="110"/>
      <c r="G26" s="111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 t="str">
        <f>IF(LEN('Sprint 1 - Planification'!B27)&lt;&gt;0,'Sprint 1 - Planification'!B27,"")</f>
        <v/>
      </c>
      <c r="C27" s="51" t="str">
        <f>IF(LEN('Sprint 1 - Planification'!C27)&lt;&gt;0,'Sprint 1 - Planification'!C27,"")</f>
        <v/>
      </c>
      <c r="D27" s="52" t="str">
        <f>IF(LEN('Sprint 1 - Planification'!H27)&lt;&gt;0,'Sprint 1 - Planification'!H27,"")</f>
        <v/>
      </c>
      <c r="E27" s="106"/>
      <c r="F27" s="107"/>
      <c r="G27" s="108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 t="str">
        <f>IF(LEN('Sprint 1 - Planification'!B28)&lt;&gt;0,'Sprint 1 - Planification'!B28,"")</f>
        <v/>
      </c>
      <c r="C28" s="54" t="str">
        <f>IF(LEN('Sprint 1 - Planification'!C28)&lt;&gt;0,'Sprint 1 - Planification'!C28,"")</f>
        <v/>
      </c>
      <c r="D28" s="55" t="str">
        <f>IF(LEN('Sprint 1 - Planification'!H28)&lt;&gt;0,'Sprint 1 - Planification'!H28,"")</f>
        <v/>
      </c>
      <c r="E28" s="109"/>
      <c r="F28" s="110"/>
      <c r="G28" s="111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 t="str">
        <f>IF(LEN('Sprint 1 - Planification'!B29)&lt;&gt;0,'Sprint 1 - Planification'!B29,"")</f>
        <v/>
      </c>
      <c r="C29" s="51" t="str">
        <f>IF(LEN('Sprint 1 - Planification'!C29)&lt;&gt;0,'Sprint 1 - Planification'!C29,"")</f>
        <v/>
      </c>
      <c r="D29" s="52" t="str">
        <f>IF(LEN('Sprint 1 - Planification'!H29)&lt;&gt;0,'Sprint 1 - Planification'!H29,"")</f>
        <v/>
      </c>
      <c r="E29" s="106"/>
      <c r="F29" s="107"/>
      <c r="G29" s="108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 t="str">
        <f>IF(LEN('Sprint 1 - Planification'!B30)&lt;&gt;0,'Sprint 1 - Planification'!B30,"")</f>
        <v/>
      </c>
      <c r="C30" s="54" t="str">
        <f>IF(LEN('Sprint 1 - Planification'!C30)&lt;&gt;0,'Sprint 1 - Planification'!C30,"")</f>
        <v/>
      </c>
      <c r="D30" s="56" t="str">
        <f>IF(LEN('Sprint 1 - Planification'!H30)&lt;&gt;0,'Sprint 1 - Planification'!H30,"")</f>
        <v/>
      </c>
      <c r="E30" s="112"/>
      <c r="F30" s="110"/>
      <c r="G30" s="111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 t="str">
        <f>IF(LEN('Sprint 1 - Planification'!B31)&lt;&gt;0,'Sprint 1 - Planification'!B31,"")</f>
        <v/>
      </c>
      <c r="C31" s="51" t="str">
        <f>IF(LEN('Sprint 1 - Planification'!C31)&lt;&gt;0,'Sprint 1 - Planification'!C31,"")</f>
        <v/>
      </c>
      <c r="D31" s="52" t="str">
        <f>IF(LEN('Sprint 1 - Planification'!H31)&lt;&gt;0,'Sprint 1 - Planification'!H31,"")</f>
        <v/>
      </c>
      <c r="E31" s="106"/>
      <c r="F31" s="107"/>
      <c r="G31" s="108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 t="str">
        <f>IF(LEN('Sprint 1 - Planification'!B32)&lt;&gt;0,'Sprint 1 - Planification'!B32,"")</f>
        <v/>
      </c>
      <c r="C32" s="54" t="str">
        <f>IF(LEN('Sprint 1 - Planification'!C32)&lt;&gt;0,'Sprint 1 - Planification'!C32,"")</f>
        <v/>
      </c>
      <c r="D32" s="56" t="str">
        <f>IF(LEN('Sprint 1 - Planification'!H32)&lt;&gt;0,'Sprint 1 - Planification'!H32,"")</f>
        <v/>
      </c>
      <c r="E32" s="112"/>
      <c r="F32" s="110"/>
      <c r="G32" s="111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 t="str">
        <f>IF(LEN('Sprint 1 - Planification'!B33)&lt;&gt;0,'Sprint 1 - Planification'!B33,"")</f>
        <v/>
      </c>
      <c r="C33" s="51" t="str">
        <f>IF(LEN('Sprint 1 - Planification'!C33)&lt;&gt;0,'Sprint 1 - Planification'!C33,"")</f>
        <v/>
      </c>
      <c r="D33" s="52" t="str">
        <f>IF(LEN('Sprint 1 - Planification'!H33)&lt;&gt;0,'Sprint 1 - Planification'!H33,"")</f>
        <v/>
      </c>
      <c r="E33" s="106"/>
      <c r="F33" s="107"/>
      <c r="G33" s="108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09"/>
      <c r="F34" s="110"/>
      <c r="G34" s="111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06"/>
      <c r="F35" s="107"/>
      <c r="G35" s="108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2"/>
      <c r="F36" s="110"/>
      <c r="G36" s="111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06"/>
      <c r="F37" s="107"/>
      <c r="G37" s="108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2"/>
      <c r="F38" s="110"/>
      <c r="G38" s="111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06"/>
      <c r="F39" s="107"/>
      <c r="G39" s="108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09"/>
      <c r="F40" s="110"/>
      <c r="G40" s="111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06"/>
      <c r="F41" s="107"/>
      <c r="G41" s="108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3"/>
      <c r="F42" s="114"/>
      <c r="G42" s="115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workbookViewId="0">
      <selection activeCell="G9" sqref="G9"/>
    </sheetView>
  </sheetViews>
  <sheetFormatPr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Vers informatique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31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16 champs à remplir!</v>
      </c>
    </row>
    <row r="6" spans="2:25" ht="7.5" customHeight="1" thickBot="1" x14ac:dyDescent="0.3"/>
    <row r="7" spans="2:25" x14ac:dyDescent="0.25">
      <c r="B7" s="132" t="s">
        <v>3</v>
      </c>
      <c r="C7" s="130" t="s">
        <v>4</v>
      </c>
      <c r="D7" s="128" t="s">
        <v>28</v>
      </c>
      <c r="E7" s="126" t="s">
        <v>33</v>
      </c>
      <c r="F7" s="127"/>
      <c r="G7" s="132" t="s">
        <v>8</v>
      </c>
      <c r="H7" s="134" t="s">
        <v>29</v>
      </c>
      <c r="I7" s="136" t="s">
        <v>30</v>
      </c>
      <c r="M7" s="7"/>
    </row>
    <row r="8" spans="2:25" x14ac:dyDescent="0.25">
      <c r="B8" s="133"/>
      <c r="C8" s="131"/>
      <c r="D8" s="129"/>
      <c r="E8" s="119" t="s">
        <v>8</v>
      </c>
      <c r="F8" s="119" t="s">
        <v>29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IF(ISBLANK('Sprint 1 - Bilan'!E8),"",'Sprint 1 - Bilan'!E8)</f>
        <v>1.0416666666666666E-2</v>
      </c>
      <c r="F9" s="65">
        <f>IF(ISBLANK('Sprint 1 - Bilan'!F8),"",'Sprint 1 - Bilan'!F8)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IF(ISBLANK('Sprint 1 - Bilan'!E9),"",'Sprint 1 - Bilan'!E9)</f>
        <v>8.3333333333333301E-2</v>
      </c>
      <c r="F10" s="71">
        <f>IF(ISBLANK('Sprint 1 - Bilan'!F9),"",'Sprint 1 - Bilan'!F9)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IF(ISBLANK('Sprint 1 - Bilan'!E10),"",'Sprint 1 - Bilan'!E10)</f>
        <v>0.16666666666666699</v>
      </c>
      <c r="F11" s="72">
        <f>IF(ISBLANK('Sprint 1 - Bilan'!F10),"",'Sprint 1 - Bilan'!F10)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IF(ISBLANK('Sprint 1 - Bilan'!E11),"",'Sprint 1 - Bilan'!E11)</f>
        <v>2.0833333333333301E-2</v>
      </c>
      <c r="F12" s="71">
        <f>IF(ISBLANK('Sprint 1 - Bilan'!F11),"",'Sprint 1 - Bilan'!F11)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Installer une machine virtuelle windows server</v>
      </c>
      <c r="D13" s="56" t="str">
        <f>IF(LEN('Sprint 1 - Planification'!H12)&lt;&gt;0,'Sprint 1 - Planification'!H12,"")</f>
        <v>Sprint 2</v>
      </c>
      <c r="E13" s="69" t="str">
        <f>IF(ISBLANK('Sprint 1 - Bilan'!E12),"",'Sprint 1 - Bilan'!E12)</f>
        <v/>
      </c>
      <c r="F13" s="73" t="str">
        <f>IF(ISBLANK('Sprint 1 - Bilan'!F12),"",'Sprint 1 - Bilan'!F12)</f>
        <v/>
      </c>
      <c r="G13" s="112"/>
      <c r="H13" s="110"/>
      <c r="I13" s="111"/>
      <c r="M13" s="3" t="b">
        <f t="shared" si="0"/>
        <v>1</v>
      </c>
      <c r="N13" s="3" t="b">
        <f t="shared" si="1"/>
        <v>1</v>
      </c>
      <c r="O13" s="3" t="b">
        <f t="shared" si="2"/>
        <v>0</v>
      </c>
      <c r="P13" s="3" t="b">
        <f t="shared" si="3"/>
        <v>0</v>
      </c>
      <c r="R13" s="8"/>
      <c r="U13" s="4" t="s">
        <v>24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Tester le fonctionnement de la vulnérabilité sur windows server</v>
      </c>
      <c r="D14" s="52" t="str">
        <f>IF(LEN('Sprint 1 - Planification'!H13)&lt;&gt;0,'Sprint 1 - Planification'!H13,"")</f>
        <v>Sprint 2</v>
      </c>
      <c r="E14" s="67" t="str">
        <f>IF(ISBLANK('Sprint 1 - Bilan'!E13),"",'Sprint 1 - Bilan'!E13)</f>
        <v/>
      </c>
      <c r="F14" s="71" t="str">
        <f>IF(ISBLANK('Sprint 1 - Bilan'!F13),"",'Sprint 1 - Bilan'!F13)</f>
        <v/>
      </c>
      <c r="G14" s="106"/>
      <c r="H14" s="107"/>
      <c r="I14" s="108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25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Intégrer la plateforme metasploit dans un programme c++</v>
      </c>
      <c r="D15" s="56" t="str">
        <f>IF(LEN('Sprint 1 - Planification'!H14)&lt;&gt;0,'Sprint 1 - Planification'!H14,"")</f>
        <v>Sprint 2</v>
      </c>
      <c r="E15" s="69" t="str">
        <f>IF(ISBLANK('Sprint 1 - Bilan'!E14),"",'Sprint 1 - Bilan'!E14)</f>
        <v/>
      </c>
      <c r="F15" s="73" t="str">
        <f>IF(ISBLANK('Sprint 1 - Bilan'!F14),"",'Sprint 1 - Bilan'!F14)</f>
        <v/>
      </c>
      <c r="G15" s="112"/>
      <c r="H15" s="110"/>
      <c r="I15" s="111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Transmettre un «payload» à un serveur et l'exécuter</v>
      </c>
      <c r="D16" s="52" t="str">
        <f>IF(LEN('Sprint 1 - Planification'!H15)&lt;&gt;0,'Sprint 1 - Planification'!H15,"")</f>
        <v>Sprint 2</v>
      </c>
      <c r="E16" s="67" t="str">
        <f>IF(ISBLANK('Sprint 1 - Bilan'!E15),"",'Sprint 1 - Bilan'!E15)</f>
        <v/>
      </c>
      <c r="F16" s="71" t="str">
        <f>IF(ISBLANK('Sprint 1 - Bilan'!F15),"",'Sprint 1 - Bilan'!F15)</f>
        <v/>
      </c>
      <c r="G16" s="106"/>
      <c r="H16" s="107"/>
      <c r="I16" s="108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8</v>
      </c>
      <c r="W16" s="4" t="str">
        <f>IF(V16=0,"",IF(V16=1,"Une tâche est en retard!",CONCATENATE(V16," tâches sont en retard!")))</f>
        <v>8 tâches sont en retard!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Persistance (démarrer un service sur un port)</v>
      </c>
      <c r="D17" s="55" t="str">
        <f>IF(LEN('Sprint 1 - Planification'!H16)&lt;&gt;0,'Sprint 1 - Planification'!H16,"")</f>
        <v>Sprint 2</v>
      </c>
      <c r="E17" s="68" t="str">
        <f>IF(ISBLANK('Sprint 1 - Bilan'!E16),"",'Sprint 1 - Bilan'!E16)</f>
        <v/>
      </c>
      <c r="F17" s="72" t="str">
        <f>IF(ISBLANK('Sprint 1 - Bilan'!F16),"",'Sprint 1 - Bilan'!F16)</f>
        <v/>
      </c>
      <c r="G17" s="109"/>
      <c r="H17" s="110"/>
      <c r="I17" s="111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Centre de commande écoute les requêtes</v>
      </c>
      <c r="D18" s="52" t="str">
        <f>IF(LEN('Sprint 1 - Planification'!H17)&lt;&gt;0,'Sprint 1 - Planification'!H17,"")</f>
        <v>Sprint 2</v>
      </c>
      <c r="E18" s="67" t="str">
        <f>IF(ISBLANK('Sprint 1 - Bilan'!E17),"",'Sprint 1 - Bilan'!E17)</f>
        <v/>
      </c>
      <c r="F18" s="71" t="str">
        <f>IF(ISBLANK('Sprint 1 - Bilan'!F17),"",'Sprint 1 - Bilan'!F17)</f>
        <v/>
      </c>
      <c r="G18" s="106"/>
      <c r="H18" s="107"/>
      <c r="I18" s="108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Communiquer avec le centre de commande</v>
      </c>
      <c r="D19" s="56" t="str">
        <f>IF(LEN('Sprint 1 - Planification'!H18)&lt;&gt;0,'Sprint 1 - Planification'!H18,"")</f>
        <v>Sprint 2</v>
      </c>
      <c r="E19" s="69" t="str">
        <f>IF(ISBLANK('Sprint 1 - Bilan'!E18),"",'Sprint 1 - Bilan'!E18)</f>
        <v/>
      </c>
      <c r="F19" s="73" t="str">
        <f>IF(ISBLANK('Sprint 1 - Bilan'!F18),"",'Sprint 1 - Bilan'!F18)</f>
        <v/>
      </c>
      <c r="G19" s="112"/>
      <c r="H19" s="110"/>
      <c r="I19" s="111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Multiplication du programme</v>
      </c>
      <c r="D20" s="52" t="str">
        <f>IF(LEN('Sprint 1 - Planification'!H19)&lt;&gt;0,'Sprint 1 - Planification'!H19,"")</f>
        <v>Sprint 2</v>
      </c>
      <c r="E20" s="67" t="str">
        <f>IF(ISBLANK('Sprint 1 - Bilan'!E19),"",'Sprint 1 - Bilan'!E19)</f>
        <v/>
      </c>
      <c r="F20" s="71" t="str">
        <f>IF(ISBLANK('Sprint 1 - Bilan'!F19),"",'Sprint 1 - Bilan'!F19)</f>
        <v/>
      </c>
      <c r="G20" s="106"/>
      <c r="H20" s="107"/>
      <c r="I20" s="108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Déployé une base de donnée sql lite sur le centre de commande</v>
      </c>
      <c r="D21" s="56" t="str">
        <f>IF(LEN('Sprint 1 - Planification'!H20)&lt;&gt;0,'Sprint 1 - Planification'!H20,"")</f>
        <v>Sprint 3</v>
      </c>
      <c r="E21" s="69" t="str">
        <f>IF(ISBLANK('Sprint 1 - Bilan'!E20),"",'Sprint 1 - Bilan'!E20)</f>
        <v/>
      </c>
      <c r="F21" s="73" t="str">
        <f>IF(ISBLANK('Sprint 1 - Bilan'!F20),"",'Sprint 1 - Bilan'!F20)</f>
        <v/>
      </c>
      <c r="G21" s="112"/>
      <c r="H21" s="110"/>
      <c r="I21" s="111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Montrer la base de donnée en ligne de commande</v>
      </c>
      <c r="D22" s="52" t="str">
        <f>IF(LEN('Sprint 1 - Planification'!H21)&lt;&gt;0,'Sprint 1 - Planification'!H21,"")</f>
        <v>Sprint 3</v>
      </c>
      <c r="E22" s="67" t="str">
        <f>IF(ISBLANK('Sprint 1 - Bilan'!E21),"",'Sprint 1 - Bilan'!E21)</f>
        <v/>
      </c>
      <c r="F22" s="71" t="str">
        <f>IF(ISBLANK('Sprint 1 - Bilan'!F21),"",'Sprint 1 - Bilan'!F21)</f>
        <v/>
      </c>
      <c r="G22" s="106"/>
      <c r="H22" s="107"/>
      <c r="I22" s="108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Déployer des machines virtuelles à l'aide de Ansible dans proxmox</v>
      </c>
      <c r="D23" s="55" t="str">
        <f>IF(LEN('Sprint 1 - Planification'!H22)&lt;&gt;0,'Sprint 1 - Planification'!H22,"")</f>
        <v>Sprint 3</v>
      </c>
      <c r="E23" s="68" t="str">
        <f>IF(ISBLANK('Sprint 1 - Bilan'!E22),"",'Sprint 1 - Bilan'!E22)</f>
        <v/>
      </c>
      <c r="F23" s="72" t="str">
        <f>IF(ISBLANK('Sprint 1 - Bilan'!F22),"",'Sprint 1 - Bilan'!F22)</f>
        <v/>
      </c>
      <c r="G23" s="109"/>
      <c r="H23" s="110"/>
      <c r="I23" s="111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Développer un gui pour le centre de commande à l'aide de Qt</v>
      </c>
      <c r="D24" s="52" t="str">
        <f>IF(LEN('Sprint 1 - Planification'!H23)&lt;&gt;0,'Sprint 1 - Planification'!H23,"")</f>
        <v>Sprint 3</v>
      </c>
      <c r="E24" s="67" t="str">
        <f>IF(ISBLANK('Sprint 1 - Bilan'!E23),"",'Sprint 1 - Bilan'!E23)</f>
        <v/>
      </c>
      <c r="F24" s="71" t="str">
        <f>IF(ISBLANK('Sprint 1 - Bilan'!F23),"",'Sprint 1 - Bilan'!F23)</f>
        <v/>
      </c>
      <c r="G24" s="106"/>
      <c r="H24" s="107"/>
      <c r="I24" s="108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 t="str">
        <f>IF(LEN('Sprint 1 - Planification'!B24)&lt;&gt;0,'Sprint 1 - Planification'!B24,"")</f>
        <v/>
      </c>
      <c r="C25" s="54" t="str">
        <f>IF(LEN('Sprint 1 - Planification'!C24)&lt;&gt;0,'Sprint 1 - Planification'!C24,"")</f>
        <v/>
      </c>
      <c r="D25" s="56" t="str">
        <f>IF(LEN('Sprint 1 - Planification'!H24)&lt;&gt;0,'Sprint 1 - Planification'!H24,"")</f>
        <v/>
      </c>
      <c r="E25" s="69" t="str">
        <f>IF(ISBLANK('Sprint 1 - Bilan'!E24),"",'Sprint 1 - Bilan'!E24)</f>
        <v/>
      </c>
      <c r="F25" s="73" t="str">
        <f>IF(ISBLANK('Sprint 1 - Bilan'!F24),"",'Sprint 1 - Bilan'!F24)</f>
        <v/>
      </c>
      <c r="G25" s="112"/>
      <c r="H25" s="110"/>
      <c r="I25" s="111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 t="str">
        <f>IF(LEN('Sprint 1 - Planification'!B25)&lt;&gt;0,'Sprint 1 - Planification'!B25,"")</f>
        <v/>
      </c>
      <c r="C26" s="51" t="str">
        <f>IF(LEN('Sprint 1 - Planification'!C25)&lt;&gt;0,'Sprint 1 - Planification'!C25,"")</f>
        <v/>
      </c>
      <c r="D26" s="52" t="str">
        <f>IF(LEN('Sprint 1 - Planification'!H25)&lt;&gt;0,'Sprint 1 - Planification'!H25,"")</f>
        <v/>
      </c>
      <c r="E26" s="67" t="str">
        <f>IF(ISBLANK('Sprint 1 - Bilan'!E25),"",'Sprint 1 - Bilan'!E25)</f>
        <v/>
      </c>
      <c r="F26" s="71" t="str">
        <f>IF(ISBLANK('Sprint 1 - Bilan'!F25),"",'Sprint 1 - Bilan'!F25)</f>
        <v/>
      </c>
      <c r="G26" s="106"/>
      <c r="H26" s="107"/>
      <c r="I26" s="108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 t="str">
        <f>IF(LEN('Sprint 1 - Planification'!B26)&lt;&gt;0,'Sprint 1 - Planification'!B26,"")</f>
        <v/>
      </c>
      <c r="C27" s="54" t="str">
        <f>IF(LEN('Sprint 1 - Planification'!C26)&lt;&gt;0,'Sprint 1 - Planification'!C26,"")</f>
        <v/>
      </c>
      <c r="D27" s="56" t="str">
        <f>IF(LEN('Sprint 1 - Planification'!H26)&lt;&gt;0,'Sprint 1 - Planification'!H26,"")</f>
        <v/>
      </c>
      <c r="E27" s="69" t="str">
        <f>IF(ISBLANK('Sprint 1 - Bilan'!E26),"",'Sprint 1 - Bilan'!E26)</f>
        <v/>
      </c>
      <c r="F27" s="73" t="str">
        <f>IF(ISBLANK('Sprint 1 - Bilan'!F26),"",'Sprint 1 - Bilan'!F26)</f>
        <v/>
      </c>
      <c r="G27" s="112"/>
      <c r="H27" s="110"/>
      <c r="I27" s="111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67" t="str">
        <f>IF(ISBLANK('Sprint 1 - Bilan'!E27),"",'Sprint 1 - Bilan'!E27)</f>
        <v/>
      </c>
      <c r="F28" s="71" t="str">
        <f>IF(ISBLANK('Sprint 1 - Bilan'!F27),"",'Sprint 1 - Bilan'!F27)</f>
        <v/>
      </c>
      <c r="G28" s="106"/>
      <c r="H28" s="107"/>
      <c r="I28" s="108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68" t="str">
        <f>IF(ISBLANK('Sprint 1 - Bilan'!E28),"",'Sprint 1 - Bilan'!E28)</f>
        <v/>
      </c>
      <c r="F29" s="72" t="str">
        <f>IF(ISBLANK('Sprint 1 - Bilan'!F28),"",'Sprint 1 - Bilan'!F28)</f>
        <v/>
      </c>
      <c r="G29" s="109"/>
      <c r="H29" s="110"/>
      <c r="I29" s="111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67" t="str">
        <f>IF(ISBLANK('Sprint 1 - Bilan'!E29),"",'Sprint 1 - Bilan'!E29)</f>
        <v/>
      </c>
      <c r="F30" s="71" t="str">
        <f>IF(ISBLANK('Sprint 1 - Bilan'!F29),"",'Sprint 1 - Bilan'!F29)</f>
        <v/>
      </c>
      <c r="G30" s="106"/>
      <c r="H30" s="107"/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69" t="str">
        <f>IF(ISBLANK('Sprint 1 - Bilan'!E30),"",'Sprint 1 - Bilan'!E30)</f>
        <v/>
      </c>
      <c r="F31" s="73" t="str">
        <f>IF(ISBLANK('Sprint 1 - Bilan'!F30),"",'Sprint 1 - Bilan'!F30)</f>
        <v/>
      </c>
      <c r="G31" s="112"/>
      <c r="H31" s="110"/>
      <c r="I31" s="111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67" t="str">
        <f>IF(ISBLANK('Sprint 1 - Bilan'!E31),"",'Sprint 1 - Bilan'!E31)</f>
        <v/>
      </c>
      <c r="F32" s="71" t="str">
        <f>IF(ISBLANK('Sprint 1 - Bilan'!F31),"",'Sprint 1 - Bilan'!F31)</f>
        <v/>
      </c>
      <c r="G32" s="106"/>
      <c r="H32" s="107"/>
      <c r="I32" s="108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69" t="str">
        <f>IF(ISBLANK('Sprint 1 - Bilan'!E32),"",'Sprint 1 - Bilan'!E32)</f>
        <v/>
      </c>
      <c r="F33" s="73" t="str">
        <f>IF(ISBLANK('Sprint 1 - Bilan'!F32),"",'Sprint 1 - Bilan'!F32)</f>
        <v/>
      </c>
      <c r="G33" s="112"/>
      <c r="H33" s="110"/>
      <c r="I33" s="111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67" t="str">
        <f>IF(ISBLANK('Sprint 1 - Bilan'!E33),"",'Sprint 1 - Bilan'!E33)</f>
        <v/>
      </c>
      <c r="F34" s="71" t="str">
        <f>IF(ISBLANK('Sprint 1 - Bilan'!F33),"",'Sprint 1 - Bilan'!F33)</f>
        <v/>
      </c>
      <c r="G34" s="106"/>
      <c r="H34" s="107"/>
      <c r="I34" s="108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68" t="str">
        <f>IF(ISBLANK('Sprint 1 - Bilan'!E34),"",'Sprint 1 - Bilan'!E34)</f>
        <v/>
      </c>
      <c r="F35" s="72" t="str">
        <f>IF(ISBLANK('Sprint 1 - Bilan'!F34),"",'Sprint 1 - Bilan'!F34)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67" t="str">
        <f>IF(ISBLANK('Sprint 1 - Bilan'!E35),"",'Sprint 1 - Bilan'!E35)</f>
        <v/>
      </c>
      <c r="F36" s="71" t="str">
        <f>IF(ISBLANK('Sprint 1 - Bilan'!F35),"",'Sprint 1 - Bilan'!F35)</f>
        <v/>
      </c>
      <c r="G36" s="106"/>
      <c r="H36" s="107"/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69" t="str">
        <f>IF(ISBLANK('Sprint 1 - Bilan'!E36),"",'Sprint 1 - Bilan'!E36)</f>
        <v/>
      </c>
      <c r="F37" s="73" t="str">
        <f>IF(ISBLANK('Sprint 1 - Bilan'!F36),"",'Sprint 1 - Bilan'!F36)</f>
        <v/>
      </c>
      <c r="G37" s="112"/>
      <c r="H37" s="110"/>
      <c r="I37" s="111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67" t="str">
        <f>IF(ISBLANK('Sprint 1 - Bilan'!E37),"",'Sprint 1 - Bilan'!E37)</f>
        <v/>
      </c>
      <c r="F38" s="71" t="str">
        <f>IF(ISBLANK('Sprint 1 - Bilan'!F37),"",'Sprint 1 - Bilan'!F37)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IF(ISBLANK('Sprint 1 - Bilan'!E38),"",'Sprint 1 - Bilan'!E38)</f>
        <v/>
      </c>
      <c r="F39" s="73" t="str">
        <f>IF(ISBLANK('Sprint 1 - Bilan'!F38),"",'Sprint 1 - Bilan'!F38)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IF(ISBLANK('Sprint 1 - Bilan'!E39),"",'Sprint 1 - Bilan'!E39)</f>
        <v/>
      </c>
      <c r="F40" s="71" t="str">
        <f>IF(ISBLANK('Sprint 1 - Bilan'!F39),"",'Sprint 1 - Bilan'!F39)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IF(ISBLANK('Sprint 1 - Bilan'!E40),"",'Sprint 1 - Bilan'!E40)</f>
        <v/>
      </c>
      <c r="F41" s="72" t="str">
        <f>IF(ISBLANK('Sprint 1 - Bilan'!F40),"",'Sprint 1 - Bilan'!F40)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IF(ISBLANK('Sprint 1 - Bilan'!E41),"",'Sprint 1 - Bilan'!E41)</f>
        <v/>
      </c>
      <c r="F42" s="71" t="str">
        <f>IF(ISBLANK('Sprint 1 - Bilan'!F41),"",'Sprint 1 - Bilan'!F41)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IF(ISBLANK('Sprint 1 - Bilan'!E42),"",'Sprint 1 - Bilan'!E42)</f>
        <v/>
      </c>
      <c r="F43" s="74" t="str">
        <f>IF(ISBLANK('Sprint 1 - Bilan'!F42),"",'Sprint 1 - Bilan'!F42)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8</v>
      </c>
      <c r="N44" s="3">
        <f t="shared" ref="N44:O44" si="5">COUNTIF(N9:N43,TRUE)</f>
        <v>8</v>
      </c>
      <c r="O44" s="3">
        <f t="shared" si="5"/>
        <v>0</v>
      </c>
      <c r="P44" s="3">
        <f>COUNTIF(P9:P43,FALSE)</f>
        <v>8</v>
      </c>
      <c r="R44" s="8"/>
    </row>
    <row r="45" spans="2:18" x14ac:dyDescent="0.25">
      <c r="M45" s="3">
        <f>SUM(M44:O44)</f>
        <v>16</v>
      </c>
      <c r="R45" s="8"/>
    </row>
    <row r="46" spans="2:18" x14ac:dyDescent="0.25">
      <c r="M46" s="3" t="str">
        <f>IF(M45=0, "aucun champ", IF(M45=1, "1 champ", M45 &amp; " champs"))</f>
        <v>16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workbookViewId="0">
      <selection activeCell="G9" sqref="G9"/>
    </sheetView>
  </sheetViews>
  <sheetFormatPr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Vers informatique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34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24 champs à remplir!</v>
      </c>
    </row>
    <row r="6" spans="2:25" ht="7.5" customHeight="1" thickBot="1" x14ac:dyDescent="0.3"/>
    <row r="7" spans="2:25" x14ac:dyDescent="0.25">
      <c r="B7" s="132" t="s">
        <v>3</v>
      </c>
      <c r="C7" s="130" t="s">
        <v>4</v>
      </c>
      <c r="D7" s="128" t="s">
        <v>28</v>
      </c>
      <c r="E7" s="126" t="s">
        <v>36</v>
      </c>
      <c r="F7" s="127"/>
      <c r="G7" s="132" t="s">
        <v>8</v>
      </c>
      <c r="H7" s="134" t="s">
        <v>29</v>
      </c>
      <c r="I7" s="136" t="s">
        <v>30</v>
      </c>
      <c r="M7" s="7"/>
    </row>
    <row r="8" spans="2:25" x14ac:dyDescent="0.25">
      <c r="B8" s="133"/>
      <c r="C8" s="131"/>
      <c r="D8" s="129"/>
      <c r="E8" s="119" t="s">
        <v>8</v>
      </c>
      <c r="F8" s="119" t="s">
        <v>29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IF(_xlfn.NUMBERVALUE('Sprint 2 - Bilan'!$E9)+_xlfn.NUMBERVALUE('Sprint 2 - Bilan'!$G9)=0,"",_xlfn.NUMBERVALUE('Sprint 2 - Bilan'!$E9)+_xlfn.NUMBERVALUE('Sprint 2 - Bilan'!$G9))</f>
        <v>1.0416666666666701E-2</v>
      </c>
      <c r="F9" s="65">
        <f>IF(LEN('Sprint 2 - Bilan'!$H9)&lt;&gt;0,'Sprint 2 - Bilan'!$H9,IF(LEN('Sprint 2 - Bilan'!$F9)=0,"",'Sprint 2 - Bilan'!$F9))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IF(_xlfn.NUMBERVALUE('Sprint 2 - Bilan'!$E10)+_xlfn.NUMBERVALUE('Sprint 2 - Bilan'!$G10)=0,"",_xlfn.NUMBERVALUE('Sprint 2 - Bilan'!$E10)+_xlfn.NUMBERVALUE('Sprint 2 - Bilan'!$G10))</f>
        <v>8.3333333333333301E-2</v>
      </c>
      <c r="F10" s="71">
        <f>IF(LEN('Sprint 2 - Bilan'!$H10)&lt;&gt;0,'Sprint 2 - Bilan'!$H10,IF(LEN('Sprint 2 - Bilan'!$F10)=0,"",'Sprint 2 - Bilan'!$F10))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IF(_xlfn.NUMBERVALUE('Sprint 2 - Bilan'!$E11)+_xlfn.NUMBERVALUE('Sprint 2 - Bilan'!$G11)=0,"",_xlfn.NUMBERVALUE('Sprint 2 - Bilan'!$E11)+_xlfn.NUMBERVALUE('Sprint 2 - Bilan'!$G11))</f>
        <v>0.16666666666666699</v>
      </c>
      <c r="F11" s="72">
        <f>IF(LEN('Sprint 2 - Bilan'!$H11)&lt;&gt;0,'Sprint 2 - Bilan'!$H11,IF(LEN('Sprint 2 - Bilan'!$F11)=0,"",'Sprint 2 - Bilan'!$F11))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IF(_xlfn.NUMBERVALUE('Sprint 2 - Bilan'!$E12)+_xlfn.NUMBERVALUE('Sprint 2 - Bilan'!$G12)=0,"",_xlfn.NUMBERVALUE('Sprint 2 - Bilan'!$E12)+_xlfn.NUMBERVALUE('Sprint 2 - Bilan'!$G12))</f>
        <v>2.0833333333333301E-2</v>
      </c>
      <c r="F12" s="71">
        <f>IF(LEN('Sprint 2 - Bilan'!$H12)&lt;&gt;0,'Sprint 2 - Bilan'!$H12,IF(LEN('Sprint 2 - Bilan'!$F12)=0,"",'Sprint 2 - Bilan'!$F12))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Installer une machine virtuelle windows server</v>
      </c>
      <c r="D13" s="56" t="str">
        <f>IF(LEN('Sprint 1 - Planification'!H12)&lt;&gt;0,'Sprint 1 - Planification'!H12,"")</f>
        <v>Sprint 2</v>
      </c>
      <c r="E13" s="69" t="str">
        <f>IF(_xlfn.NUMBERVALUE('Sprint 2 - Bilan'!$E13)+_xlfn.NUMBERVALUE('Sprint 2 - Bilan'!$G13)=0,"",_xlfn.NUMBERVALUE('Sprint 2 - Bilan'!$E13)+_xlfn.NUMBERVALUE('Sprint 2 - Bilan'!$G13))</f>
        <v/>
      </c>
      <c r="F13" s="73" t="str">
        <f>IF(LEN('Sprint 2 - Bilan'!$H13)&lt;&gt;0,'Sprint 2 - Bilan'!$H13,IF(LEN('Sprint 2 - Bilan'!$F13)=0,"",'Sprint 2 - Bilan'!$F13))</f>
        <v/>
      </c>
      <c r="G13" s="112"/>
      <c r="H13" s="110"/>
      <c r="I13" s="111"/>
      <c r="M13" s="3" t="b">
        <f t="shared" si="0"/>
        <v>1</v>
      </c>
      <c r="N13" s="3" t="b">
        <f t="shared" si="1"/>
        <v>1</v>
      </c>
      <c r="O13" s="3" t="b">
        <f t="shared" si="2"/>
        <v>0</v>
      </c>
      <c r="P13" s="3" t="b">
        <f t="shared" si="3"/>
        <v>0</v>
      </c>
      <c r="R13" s="8"/>
      <c r="U13" s="4" t="s">
        <v>24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Tester le fonctionnement de la vulnérabilité sur windows server</v>
      </c>
      <c r="D14" s="52" t="str">
        <f>IF(LEN('Sprint 1 - Planification'!H13)&lt;&gt;0,'Sprint 1 - Planification'!H13,"")</f>
        <v>Sprint 2</v>
      </c>
      <c r="E14" s="67" t="str">
        <f>IF(_xlfn.NUMBERVALUE('Sprint 2 - Bilan'!$E14)+_xlfn.NUMBERVALUE('Sprint 2 - Bilan'!$G14)=0,"",_xlfn.NUMBERVALUE('Sprint 2 - Bilan'!$E14)+_xlfn.NUMBERVALUE('Sprint 2 - Bilan'!$G14))</f>
        <v/>
      </c>
      <c r="F14" s="71" t="str">
        <f>IF(LEN('Sprint 2 - Bilan'!$H14)&lt;&gt;0,'Sprint 2 - Bilan'!$H14,IF(LEN('Sprint 2 - Bilan'!$F14)=0,"",'Sprint 2 - Bilan'!$F14))</f>
        <v/>
      </c>
      <c r="G14" s="106"/>
      <c r="H14" s="107"/>
      <c r="I14" s="108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25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Intégrer la plateforme metasploit dans un programme c++</v>
      </c>
      <c r="D15" s="56" t="str">
        <f>IF(LEN('Sprint 1 - Planification'!H14)&lt;&gt;0,'Sprint 1 - Planification'!H14,"")</f>
        <v>Sprint 2</v>
      </c>
      <c r="E15" s="69" t="str">
        <f>IF(_xlfn.NUMBERVALUE('Sprint 2 - Bilan'!$E15)+_xlfn.NUMBERVALUE('Sprint 2 - Bilan'!$G15)=0,"",_xlfn.NUMBERVALUE('Sprint 2 - Bilan'!$E15)+_xlfn.NUMBERVALUE('Sprint 2 - Bilan'!$G15))</f>
        <v/>
      </c>
      <c r="F15" s="73" t="str">
        <f>IF(LEN('Sprint 2 - Bilan'!$H15)&lt;&gt;0,'Sprint 2 - Bilan'!$H15,IF(LEN('Sprint 2 - Bilan'!$F15)=0,"",'Sprint 2 - Bilan'!$F15))</f>
        <v/>
      </c>
      <c r="G15" s="112"/>
      <c r="H15" s="110"/>
      <c r="I15" s="111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Transmettre un «payload» à un serveur et l'exécuter</v>
      </c>
      <c r="D16" s="52" t="str">
        <f>IF(LEN('Sprint 1 - Planification'!H15)&lt;&gt;0,'Sprint 1 - Planification'!H15,"")</f>
        <v>Sprint 2</v>
      </c>
      <c r="E16" s="67" t="str">
        <f>IF(_xlfn.NUMBERVALUE('Sprint 2 - Bilan'!$E16)+_xlfn.NUMBERVALUE('Sprint 2 - Bilan'!$G16)=0,"",_xlfn.NUMBERVALUE('Sprint 2 - Bilan'!$E16)+_xlfn.NUMBERVALUE('Sprint 2 - Bilan'!$G16))</f>
        <v/>
      </c>
      <c r="F16" s="71" t="str">
        <f>IF(LEN('Sprint 2 - Bilan'!$H16)&lt;&gt;0,'Sprint 2 - Bilan'!$H16,IF(LEN('Sprint 2 - Bilan'!$F16)=0,"",'Sprint 2 - Bilan'!$F16))</f>
        <v/>
      </c>
      <c r="G16" s="106"/>
      <c r="H16" s="107"/>
      <c r="I16" s="108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12</v>
      </c>
      <c r="W16" s="4" t="str">
        <f>IF(V16=0,"",IF(V16=1,"Une tâche n'a pas été terminée!",CONCATENATE(V16," tâches n'ont pas été terminé!")))</f>
        <v>12 tâches n'ont pas été terminé!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Persistance (démarrer un service sur un port)</v>
      </c>
      <c r="D17" s="55" t="str">
        <f>IF(LEN('Sprint 1 - Planification'!H16)&lt;&gt;0,'Sprint 1 - Planification'!H16,"")</f>
        <v>Sprint 2</v>
      </c>
      <c r="E17" s="68" t="str">
        <f>IF(_xlfn.NUMBERVALUE('Sprint 2 - Bilan'!$E17)+_xlfn.NUMBERVALUE('Sprint 2 - Bilan'!$G17)=0,"",_xlfn.NUMBERVALUE('Sprint 2 - Bilan'!$E17)+_xlfn.NUMBERVALUE('Sprint 2 - Bilan'!$G17))</f>
        <v/>
      </c>
      <c r="F17" s="72" t="str">
        <f>IF(LEN('Sprint 2 - Bilan'!$H17)&lt;&gt;0,'Sprint 2 - Bilan'!$H17,IF(LEN('Sprint 2 - Bilan'!$F17)=0,"",'Sprint 2 - Bilan'!$F17))</f>
        <v/>
      </c>
      <c r="G17" s="109"/>
      <c r="H17" s="110"/>
      <c r="I17" s="111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Centre de commande écoute les requêtes</v>
      </c>
      <c r="D18" s="52" t="str">
        <f>IF(LEN('Sprint 1 - Planification'!H17)&lt;&gt;0,'Sprint 1 - Planification'!H17,"")</f>
        <v>Sprint 2</v>
      </c>
      <c r="E18" s="67" t="str">
        <f>IF(_xlfn.NUMBERVALUE('Sprint 2 - Bilan'!$E18)+_xlfn.NUMBERVALUE('Sprint 2 - Bilan'!$G18)=0,"",_xlfn.NUMBERVALUE('Sprint 2 - Bilan'!$E18)+_xlfn.NUMBERVALUE('Sprint 2 - Bilan'!$G18))</f>
        <v/>
      </c>
      <c r="F18" s="71" t="str">
        <f>IF(LEN('Sprint 2 - Bilan'!$H18)&lt;&gt;0,'Sprint 2 - Bilan'!$H18,IF(LEN('Sprint 2 - Bilan'!$F18)=0,"",'Sprint 2 - Bilan'!$F18))</f>
        <v/>
      </c>
      <c r="G18" s="106"/>
      <c r="H18" s="107"/>
      <c r="I18" s="108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Communiquer avec le centre de commande</v>
      </c>
      <c r="D19" s="56" t="str">
        <f>IF(LEN('Sprint 1 - Planification'!H18)&lt;&gt;0,'Sprint 1 - Planification'!H18,"")</f>
        <v>Sprint 2</v>
      </c>
      <c r="E19" s="69" t="str">
        <f>IF(_xlfn.NUMBERVALUE('Sprint 2 - Bilan'!$E19)+_xlfn.NUMBERVALUE('Sprint 2 - Bilan'!$G19)=0,"",_xlfn.NUMBERVALUE('Sprint 2 - Bilan'!$E19)+_xlfn.NUMBERVALUE('Sprint 2 - Bilan'!$G19))</f>
        <v/>
      </c>
      <c r="F19" s="73" t="str">
        <f>IF(LEN('Sprint 2 - Bilan'!$H19)&lt;&gt;0,'Sprint 2 - Bilan'!$H19,IF(LEN('Sprint 2 - Bilan'!$F19)=0,"",'Sprint 2 - Bilan'!$F19))</f>
        <v/>
      </c>
      <c r="G19" s="112"/>
      <c r="H19" s="110"/>
      <c r="I19" s="111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Multiplication du programme</v>
      </c>
      <c r="D20" s="52" t="str">
        <f>IF(LEN('Sprint 1 - Planification'!H19)&lt;&gt;0,'Sprint 1 - Planification'!H19,"")</f>
        <v>Sprint 2</v>
      </c>
      <c r="E20" s="67" t="str">
        <f>IF(_xlfn.NUMBERVALUE('Sprint 2 - Bilan'!$E20)+_xlfn.NUMBERVALUE('Sprint 2 - Bilan'!$G20)=0,"",_xlfn.NUMBERVALUE('Sprint 2 - Bilan'!$E20)+_xlfn.NUMBERVALUE('Sprint 2 - Bilan'!$G20))</f>
        <v/>
      </c>
      <c r="F20" s="71" t="str">
        <f>IF(LEN('Sprint 2 - Bilan'!$H20)&lt;&gt;0,'Sprint 2 - Bilan'!$H20,IF(LEN('Sprint 2 - Bilan'!$F20)=0,"",'Sprint 2 - Bilan'!$F20))</f>
        <v/>
      </c>
      <c r="G20" s="106"/>
      <c r="H20" s="107"/>
      <c r="I20" s="108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Déployé une base de donnée sql lite sur le centre de commande</v>
      </c>
      <c r="D21" s="56" t="str">
        <f>IF(LEN('Sprint 1 - Planification'!H20)&lt;&gt;0,'Sprint 1 - Planification'!H20,"")</f>
        <v>Sprint 3</v>
      </c>
      <c r="E21" s="69" t="str">
        <f>IF(_xlfn.NUMBERVALUE('Sprint 2 - Bilan'!$E21)+_xlfn.NUMBERVALUE('Sprint 2 - Bilan'!$G21)=0,"",_xlfn.NUMBERVALUE('Sprint 2 - Bilan'!$E21)+_xlfn.NUMBERVALUE('Sprint 2 - Bilan'!$G21))</f>
        <v/>
      </c>
      <c r="F21" s="73" t="str">
        <f>IF(LEN('Sprint 2 - Bilan'!$H21)&lt;&gt;0,'Sprint 2 - Bilan'!$H21,IF(LEN('Sprint 2 - Bilan'!$F21)=0,"",'Sprint 2 - Bilan'!$F21))</f>
        <v/>
      </c>
      <c r="G21" s="112"/>
      <c r="H21" s="110"/>
      <c r="I21" s="111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Montrer la base de donnée en ligne de commande</v>
      </c>
      <c r="D22" s="52" t="str">
        <f>IF(LEN('Sprint 1 - Planification'!H21)&lt;&gt;0,'Sprint 1 - Planification'!H21,"")</f>
        <v>Sprint 3</v>
      </c>
      <c r="E22" s="67" t="str">
        <f>IF(_xlfn.NUMBERVALUE('Sprint 2 - Bilan'!$E22)+_xlfn.NUMBERVALUE('Sprint 2 - Bilan'!$G22)=0,"",_xlfn.NUMBERVALUE('Sprint 2 - Bilan'!$E22)+_xlfn.NUMBERVALUE('Sprint 2 - Bilan'!$G22))</f>
        <v/>
      </c>
      <c r="F22" s="71" t="str">
        <f>IF(LEN('Sprint 2 - Bilan'!$H22)&lt;&gt;0,'Sprint 2 - Bilan'!$H22,IF(LEN('Sprint 2 - Bilan'!$F22)=0,"",'Sprint 2 - Bilan'!$F22))</f>
        <v/>
      </c>
      <c r="G22" s="106"/>
      <c r="H22" s="107"/>
      <c r="I22" s="108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Déployer des machines virtuelles à l'aide de Ansible dans proxmox</v>
      </c>
      <c r="D23" s="55" t="str">
        <f>IF(LEN('Sprint 1 - Planification'!H22)&lt;&gt;0,'Sprint 1 - Planification'!H22,"")</f>
        <v>Sprint 3</v>
      </c>
      <c r="E23" s="68" t="str">
        <f>IF(_xlfn.NUMBERVALUE('Sprint 2 - Bilan'!$E23)+_xlfn.NUMBERVALUE('Sprint 2 - Bilan'!$G23)=0,"",_xlfn.NUMBERVALUE('Sprint 2 - Bilan'!$E23)+_xlfn.NUMBERVALUE('Sprint 2 - Bilan'!$G23))</f>
        <v/>
      </c>
      <c r="F23" s="72" t="str">
        <f>IF(LEN('Sprint 2 - Bilan'!$H23)&lt;&gt;0,'Sprint 2 - Bilan'!$H23,IF(LEN('Sprint 2 - Bilan'!$F23)=0,"",'Sprint 2 - Bilan'!$F23))</f>
        <v/>
      </c>
      <c r="G23" s="109"/>
      <c r="H23" s="110"/>
      <c r="I23" s="111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Développer un gui pour le centre de commande à l'aide de Qt</v>
      </c>
      <c r="D24" s="52" t="str">
        <f>IF(LEN('Sprint 1 - Planification'!H23)&lt;&gt;0,'Sprint 1 - Planification'!H23,"")</f>
        <v>Sprint 3</v>
      </c>
      <c r="E24" s="67" t="str">
        <f>IF(_xlfn.NUMBERVALUE('Sprint 2 - Bilan'!$E24)+_xlfn.NUMBERVALUE('Sprint 2 - Bilan'!$G24)=0,"",_xlfn.NUMBERVALUE('Sprint 2 - Bilan'!$E24)+_xlfn.NUMBERVALUE('Sprint 2 - Bilan'!$G24))</f>
        <v/>
      </c>
      <c r="F24" s="71" t="str">
        <f>IF(LEN('Sprint 2 - Bilan'!$H24)&lt;&gt;0,'Sprint 2 - Bilan'!$H24,IF(LEN('Sprint 2 - Bilan'!$F24)=0,"",'Sprint 2 - Bilan'!$F24))</f>
        <v/>
      </c>
      <c r="G24" s="106"/>
      <c r="H24" s="107"/>
      <c r="I24" s="108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 t="str">
        <f>IF(LEN('Sprint 1 - Planification'!B24)&lt;&gt;0,'Sprint 1 - Planification'!B24,"")</f>
        <v/>
      </c>
      <c r="C25" s="54" t="str">
        <f>IF(LEN('Sprint 1 - Planification'!C24)&lt;&gt;0,'Sprint 1 - Planification'!C24,"")</f>
        <v/>
      </c>
      <c r="D25" s="56" t="str">
        <f>IF(LEN('Sprint 1 - Planification'!H24)&lt;&gt;0,'Sprint 1 - Planification'!H24,"")</f>
        <v/>
      </c>
      <c r="E25" s="69" t="str">
        <f>IF(_xlfn.NUMBERVALUE('Sprint 2 - Bilan'!$E25)+_xlfn.NUMBERVALUE('Sprint 2 - Bilan'!$G25)=0,"",_xlfn.NUMBERVALUE('Sprint 2 - Bilan'!$E25)+_xlfn.NUMBERVALUE('Sprint 2 - Bilan'!$G25))</f>
        <v/>
      </c>
      <c r="F25" s="73" t="str">
        <f>IF(LEN('Sprint 2 - Bilan'!$H25)&lt;&gt;0,'Sprint 2 - Bilan'!$H25,IF(LEN('Sprint 2 - Bilan'!$F25)=0,"",'Sprint 2 - Bilan'!$F25))</f>
        <v/>
      </c>
      <c r="G25" s="112"/>
      <c r="H25" s="110"/>
      <c r="I25" s="111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 t="str">
        <f>IF(LEN('Sprint 1 - Planification'!B25)&lt;&gt;0,'Sprint 1 - Planification'!B25,"")</f>
        <v/>
      </c>
      <c r="C26" s="51" t="str">
        <f>IF(LEN('Sprint 1 - Planification'!C25)&lt;&gt;0,'Sprint 1 - Planification'!C25,"")</f>
        <v/>
      </c>
      <c r="D26" s="52" t="str">
        <f>IF(LEN('Sprint 1 - Planification'!H25)&lt;&gt;0,'Sprint 1 - Planification'!H25,"")</f>
        <v/>
      </c>
      <c r="E26" s="67" t="str">
        <f>IF(_xlfn.NUMBERVALUE('Sprint 2 - Bilan'!$E26)+_xlfn.NUMBERVALUE('Sprint 2 - Bilan'!$G26)=0,"",_xlfn.NUMBERVALUE('Sprint 2 - Bilan'!$E26)+_xlfn.NUMBERVALUE('Sprint 2 - Bilan'!$G26))</f>
        <v/>
      </c>
      <c r="F26" s="71" t="str">
        <f>IF(LEN('Sprint 2 - Bilan'!$H26)&lt;&gt;0,'Sprint 2 - Bilan'!$H26,IF(LEN('Sprint 2 - Bilan'!$F26)=0,"",'Sprint 2 - Bilan'!$F26))</f>
        <v/>
      </c>
      <c r="G26" s="106"/>
      <c r="H26" s="107"/>
      <c r="I26" s="108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 t="str">
        <f>IF(LEN('Sprint 1 - Planification'!B26)&lt;&gt;0,'Sprint 1 - Planification'!B26,"")</f>
        <v/>
      </c>
      <c r="C27" s="54" t="str">
        <f>IF(LEN('Sprint 1 - Planification'!C26)&lt;&gt;0,'Sprint 1 - Planification'!C26,"")</f>
        <v/>
      </c>
      <c r="D27" s="56" t="str">
        <f>IF(LEN('Sprint 1 - Planification'!H26)&lt;&gt;0,'Sprint 1 - Planification'!H26,"")</f>
        <v/>
      </c>
      <c r="E27" s="69" t="str">
        <f>IF(_xlfn.NUMBERVALUE('Sprint 2 - Bilan'!$E27)+_xlfn.NUMBERVALUE('Sprint 2 - Bilan'!$G27)=0,"",_xlfn.NUMBERVALUE('Sprint 2 - Bilan'!$E27)+_xlfn.NUMBERVALUE('Sprint 2 - Bilan'!$G27))</f>
        <v/>
      </c>
      <c r="F27" s="73" t="str">
        <f>IF(LEN('Sprint 2 - Bilan'!$H27)&lt;&gt;0,'Sprint 2 - Bilan'!$H27,IF(LEN('Sprint 2 - Bilan'!$F27)=0,"",'Sprint 2 - Bilan'!$F27))</f>
        <v/>
      </c>
      <c r="G27" s="112"/>
      <c r="H27" s="110"/>
      <c r="I27" s="111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67" t="str">
        <f>IF(_xlfn.NUMBERVALUE('Sprint 2 - Bilan'!$E28)+_xlfn.NUMBERVALUE('Sprint 2 - Bilan'!$G28)=0,"",_xlfn.NUMBERVALUE('Sprint 2 - Bilan'!$E28)+_xlfn.NUMBERVALUE('Sprint 2 - Bilan'!$G28))</f>
        <v/>
      </c>
      <c r="F28" s="71" t="str">
        <f>IF(LEN('Sprint 2 - Bilan'!$H28)&lt;&gt;0,'Sprint 2 - Bilan'!$H28,IF(LEN('Sprint 2 - Bilan'!$F28)=0,"",'Sprint 2 - Bilan'!$F28))</f>
        <v/>
      </c>
      <c r="G28" s="106"/>
      <c r="H28" s="107"/>
      <c r="I28" s="108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68" t="str">
        <f>IF(_xlfn.NUMBERVALUE('Sprint 2 - Bilan'!$E29)+_xlfn.NUMBERVALUE('Sprint 2 - Bilan'!$G29)=0,"",_xlfn.NUMBERVALUE('Sprint 2 - Bilan'!$E29)+_xlfn.NUMBERVALUE('Sprint 2 - Bilan'!$G29))</f>
        <v/>
      </c>
      <c r="F29" s="72" t="str">
        <f>IF(LEN('Sprint 2 - Bilan'!$H29)&lt;&gt;0,'Sprint 2 - Bilan'!$H29,IF(LEN('Sprint 2 - Bilan'!$F29)=0,"",'Sprint 2 - Bilan'!$F29))</f>
        <v/>
      </c>
      <c r="G29" s="109"/>
      <c r="H29" s="110"/>
      <c r="I29" s="111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67" t="str">
        <f>IF(_xlfn.NUMBERVALUE('Sprint 2 - Bilan'!$E30)+_xlfn.NUMBERVALUE('Sprint 2 - Bilan'!$G30)=0,"",_xlfn.NUMBERVALUE('Sprint 2 - Bilan'!$E30)+_xlfn.NUMBERVALUE('Sprint 2 - Bilan'!$G30))</f>
        <v/>
      </c>
      <c r="F30" s="71" t="str">
        <f>IF(LEN('Sprint 2 - Bilan'!$H30)&lt;&gt;0,'Sprint 2 - Bilan'!$H30,IF(LEN('Sprint 2 - Bilan'!$F30)=0,"",'Sprint 2 - Bilan'!$F30))</f>
        <v/>
      </c>
      <c r="G30" s="106"/>
      <c r="H30" s="107"/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69" t="str">
        <f>IF(_xlfn.NUMBERVALUE('Sprint 2 - Bilan'!$E31)+_xlfn.NUMBERVALUE('Sprint 2 - Bilan'!$G31)=0,"",_xlfn.NUMBERVALUE('Sprint 2 - Bilan'!$E31)+_xlfn.NUMBERVALUE('Sprint 2 - Bilan'!$G31))</f>
        <v/>
      </c>
      <c r="F31" s="73" t="str">
        <f>IF(LEN('Sprint 2 - Bilan'!$H31)&lt;&gt;0,'Sprint 2 - Bilan'!$H31,IF(LEN('Sprint 2 - Bilan'!$F31)=0,"",'Sprint 2 - Bilan'!$F31))</f>
        <v/>
      </c>
      <c r="G31" s="112"/>
      <c r="H31" s="110"/>
      <c r="I31" s="111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67" t="str">
        <f>IF(_xlfn.NUMBERVALUE('Sprint 2 - Bilan'!$E32)+_xlfn.NUMBERVALUE('Sprint 2 - Bilan'!$G32)=0,"",_xlfn.NUMBERVALUE('Sprint 2 - Bilan'!$E32)+_xlfn.NUMBERVALUE('Sprint 2 - Bilan'!$G32))</f>
        <v/>
      </c>
      <c r="F32" s="71" t="str">
        <f>IF(LEN('Sprint 2 - Bilan'!$H32)&lt;&gt;0,'Sprint 2 - Bilan'!$H32,IF(LEN('Sprint 2 - Bilan'!$F32)=0,"",'Sprint 2 - Bilan'!$F32))</f>
        <v/>
      </c>
      <c r="G32" s="106"/>
      <c r="H32" s="107"/>
      <c r="I32" s="108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69" t="str">
        <f>IF(_xlfn.NUMBERVALUE('Sprint 2 - Bilan'!$E33)+_xlfn.NUMBERVALUE('Sprint 2 - Bilan'!$G33)=0,"",_xlfn.NUMBERVALUE('Sprint 2 - Bilan'!$E33)+_xlfn.NUMBERVALUE('Sprint 2 - Bilan'!$G33))</f>
        <v/>
      </c>
      <c r="F33" s="73" t="str">
        <f>IF(LEN('Sprint 2 - Bilan'!$H33)&lt;&gt;0,'Sprint 2 - Bilan'!$H33,IF(LEN('Sprint 2 - Bilan'!$F33)=0,"",'Sprint 2 - Bilan'!$F33))</f>
        <v/>
      </c>
      <c r="G33" s="112"/>
      <c r="H33" s="110"/>
      <c r="I33" s="111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67" t="str">
        <f>IF(_xlfn.NUMBERVALUE('Sprint 2 - Bilan'!$E34)+_xlfn.NUMBERVALUE('Sprint 2 - Bilan'!$G34)=0,"",_xlfn.NUMBERVALUE('Sprint 2 - Bilan'!$E34)+_xlfn.NUMBERVALUE('Sprint 2 - Bilan'!$G34))</f>
        <v/>
      </c>
      <c r="F34" s="71" t="str">
        <f>IF(LEN('Sprint 2 - Bilan'!$H34)&lt;&gt;0,'Sprint 2 - Bilan'!$H34,IF(LEN('Sprint 2 - Bilan'!$F34)=0,"",'Sprint 2 - Bilan'!$F34))</f>
        <v/>
      </c>
      <c r="G34" s="106"/>
      <c r="H34" s="107"/>
      <c r="I34" s="108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68" t="str">
        <f>IF(_xlfn.NUMBERVALUE('Sprint 2 - Bilan'!$E35)+_xlfn.NUMBERVALUE('Sprint 2 - Bilan'!$G35)=0,"",_xlfn.NUMBERVALUE('Sprint 2 - Bilan'!$E35)+_xlfn.NUMBERVALUE('Sprint 2 - Bilan'!$G35))</f>
        <v/>
      </c>
      <c r="F35" s="72" t="str">
        <f>IF(LEN('Sprint 2 - Bilan'!$H35)&lt;&gt;0,'Sprint 2 - Bilan'!$H35,IF(LEN('Sprint 2 - Bilan'!$F35)=0,"",'Sprint 2 - Bilan'!$F35))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67" t="str">
        <f>IF(_xlfn.NUMBERVALUE('Sprint 2 - Bilan'!$E36)+_xlfn.NUMBERVALUE('Sprint 2 - Bilan'!$G36)=0,"",_xlfn.NUMBERVALUE('Sprint 2 - Bilan'!$E36)+_xlfn.NUMBERVALUE('Sprint 2 - Bilan'!$G36))</f>
        <v/>
      </c>
      <c r="F36" s="71" t="str">
        <f>IF(LEN('Sprint 2 - Bilan'!$H36)&lt;&gt;0,'Sprint 2 - Bilan'!$H36,IF(LEN('Sprint 2 - Bilan'!$F36)=0,"",'Sprint 2 - Bilan'!$F36))</f>
        <v/>
      </c>
      <c r="G36" s="106"/>
      <c r="H36" s="107"/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69" t="str">
        <f>IF(_xlfn.NUMBERVALUE('Sprint 2 - Bilan'!$E37)+_xlfn.NUMBERVALUE('Sprint 2 - Bilan'!$G37)=0,"",_xlfn.NUMBERVALUE('Sprint 2 - Bilan'!$E37)+_xlfn.NUMBERVALUE('Sprint 2 - Bilan'!$G37))</f>
        <v/>
      </c>
      <c r="F37" s="73" t="str">
        <f>IF(LEN('Sprint 2 - Bilan'!$H37)&lt;&gt;0,'Sprint 2 - Bilan'!$H37,IF(LEN('Sprint 2 - Bilan'!$F37)=0,"",'Sprint 2 - Bilan'!$F37))</f>
        <v/>
      </c>
      <c r="G37" s="112"/>
      <c r="H37" s="110"/>
      <c r="I37" s="111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67" t="str">
        <f>IF(_xlfn.NUMBERVALUE('Sprint 2 - Bilan'!$E38)+_xlfn.NUMBERVALUE('Sprint 2 - Bilan'!$G38)=0,"",_xlfn.NUMBERVALUE('Sprint 2 - Bilan'!$E38)+_xlfn.NUMBERVALUE('Sprint 2 - Bilan'!$G38))</f>
        <v/>
      </c>
      <c r="F38" s="71" t="str">
        <f>IF(LEN('Sprint 2 - Bilan'!$H38)&lt;&gt;0,'Sprint 2 - Bilan'!$H38,IF(LEN('Sprint 2 - Bilan'!$F38)=0,"",'Sprint 2 - Bilan'!$F38))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IF(_xlfn.NUMBERVALUE('Sprint 2 - Bilan'!$E39)+_xlfn.NUMBERVALUE('Sprint 2 - Bilan'!$G39)=0,"",_xlfn.NUMBERVALUE('Sprint 2 - Bilan'!$E39)+_xlfn.NUMBERVALUE('Sprint 2 - Bilan'!$G39))</f>
        <v/>
      </c>
      <c r="F39" s="73" t="str">
        <f>IF(LEN('Sprint 2 - Bilan'!$H39)&lt;&gt;0,'Sprint 2 - Bilan'!$H39,IF(LEN('Sprint 2 - Bilan'!$F39)=0,"",'Sprint 2 - Bilan'!$F39))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IF(_xlfn.NUMBERVALUE('Sprint 2 - Bilan'!$E40)+_xlfn.NUMBERVALUE('Sprint 2 - Bilan'!$G40)=0,"",_xlfn.NUMBERVALUE('Sprint 2 - Bilan'!$E40)+_xlfn.NUMBERVALUE('Sprint 2 - Bilan'!$G40))</f>
        <v/>
      </c>
      <c r="F40" s="71" t="str">
        <f>IF(LEN('Sprint 2 - Bilan'!$H40)&lt;&gt;0,'Sprint 2 - Bilan'!$H40,IF(LEN('Sprint 2 - Bilan'!$F40)=0,"",'Sprint 2 - Bilan'!$F40))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IF(_xlfn.NUMBERVALUE('Sprint 2 - Bilan'!$E41)+_xlfn.NUMBERVALUE('Sprint 2 - Bilan'!$G41)=0,"",_xlfn.NUMBERVALUE('Sprint 2 - Bilan'!$E41)+_xlfn.NUMBERVALUE('Sprint 2 - Bilan'!$G41))</f>
        <v/>
      </c>
      <c r="F41" s="72" t="str">
        <f>IF(LEN('Sprint 2 - Bilan'!$H41)&lt;&gt;0,'Sprint 2 - Bilan'!$H41,IF(LEN('Sprint 2 - Bilan'!$F41)=0,"",'Sprint 2 - Bilan'!$F41))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IF(_xlfn.NUMBERVALUE('Sprint 2 - Bilan'!$E42)+_xlfn.NUMBERVALUE('Sprint 2 - Bilan'!$G42)=0,"",_xlfn.NUMBERVALUE('Sprint 2 - Bilan'!$E42)+_xlfn.NUMBERVALUE('Sprint 2 - Bilan'!$G42))</f>
        <v/>
      </c>
      <c r="F42" s="71" t="str">
        <f>IF(LEN('Sprint 2 - Bilan'!$H42)&lt;&gt;0,'Sprint 2 - Bilan'!$H42,IF(LEN('Sprint 2 - Bilan'!$F42)=0,"",'Sprint 2 - Bilan'!$F42))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IF(_xlfn.NUMBERVALUE('Sprint 2 - Bilan'!$E43)+_xlfn.NUMBERVALUE('Sprint 2 - Bilan'!$G43)=0,"",_xlfn.NUMBERVALUE('Sprint 2 - Bilan'!$E43)+_xlfn.NUMBERVALUE('Sprint 2 - Bilan'!$G43))</f>
        <v/>
      </c>
      <c r="F43" s="74" t="str">
        <f>IF(LEN('Sprint 2 - Bilan'!$H43)&lt;&gt;0,'Sprint 2 - Bilan'!$H43,IF(LEN('Sprint 2 - Bilan'!$F43)=0,"",'Sprint 2 - Bilan'!$F43))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12</v>
      </c>
      <c r="N44" s="3">
        <f t="shared" ref="N44:O44" si="5">COUNTIF(N9:N43,TRUE)</f>
        <v>12</v>
      </c>
      <c r="O44" s="3">
        <f t="shared" si="5"/>
        <v>0</v>
      </c>
      <c r="P44" s="3">
        <f>COUNTIF(P9:P43,FALSE)</f>
        <v>12</v>
      </c>
      <c r="R44" s="8"/>
    </row>
    <row r="45" spans="2:18" x14ac:dyDescent="0.25">
      <c r="M45" s="3">
        <f>SUM(M44:O44)</f>
        <v>24</v>
      </c>
      <c r="R45" s="8"/>
    </row>
    <row r="46" spans="2:18" x14ac:dyDescent="0.25">
      <c r="M46" s="3" t="str">
        <f>IF(M45=0, "aucun champ", IF(M45=1, "1 champ", M45 &amp; " champs"))</f>
        <v>24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tabSelected="1" workbookViewId="0">
      <selection activeCell="AY27" sqref="AY27"/>
    </sheetView>
  </sheetViews>
  <sheetFormatPr defaultColWidth="11.42578125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2" t="s">
        <v>37</v>
      </c>
      <c r="C2" s="102"/>
      <c r="D2" s="102"/>
      <c r="E2" s="102"/>
      <c r="F2" s="102"/>
      <c r="G2" s="102"/>
      <c r="H2" s="102"/>
      <c r="I2" s="102"/>
      <c r="J2" s="102"/>
    </row>
    <row r="3" spans="2:25" ht="15" customHeight="1" x14ac:dyDescent="0.25">
      <c r="B3" s="25" t="s">
        <v>38</v>
      </c>
      <c r="C3" s="82"/>
      <c r="D3" s="82"/>
      <c r="E3" s="82"/>
      <c r="F3" s="82"/>
    </row>
    <row r="4" spans="2:25" ht="22.5" customHeight="1" x14ac:dyDescent="0.25">
      <c r="B4" s="76"/>
      <c r="C4" s="5"/>
      <c r="D4" s="5"/>
      <c r="E4" s="5"/>
      <c r="F4" s="5"/>
    </row>
    <row r="5" spans="2:25" ht="22.5" customHeight="1" thickBot="1" x14ac:dyDescent="0.25">
      <c r="B5" s="81" t="s">
        <v>39</v>
      </c>
      <c r="C5" s="83"/>
      <c r="D5" s="83"/>
      <c r="E5" s="83"/>
      <c r="F5" s="84"/>
      <c r="G5" s="84"/>
      <c r="H5" s="84"/>
      <c r="I5" s="84"/>
      <c r="J5" s="84"/>
    </row>
    <row r="6" spans="2:25" ht="7.5" customHeight="1" x14ac:dyDescent="0.25"/>
    <row r="7" spans="2:25" s="2" customFormat="1" ht="12.75" x14ac:dyDescent="0.25">
      <c r="B7" s="87"/>
      <c r="C7" s="88" t="s">
        <v>13</v>
      </c>
      <c r="D7" s="88" t="s">
        <v>18</v>
      </c>
      <c r="E7" s="88" t="s">
        <v>21</v>
      </c>
      <c r="F7" s="88" t="s">
        <v>40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85" t="s">
        <v>41</v>
      </c>
      <c r="C8" s="89">
        <f>L8</f>
        <v>4</v>
      </c>
      <c r="D8" s="90">
        <f>M8</f>
        <v>8</v>
      </c>
      <c r="E8" s="91">
        <f>N8</f>
        <v>4</v>
      </c>
      <c r="F8" s="95">
        <f>O8</f>
        <v>16</v>
      </c>
      <c r="G8" s="1"/>
      <c r="H8" s="1"/>
      <c r="L8" s="1">
        <f>'Sprint 1 - Planification'!AJ17</f>
        <v>4</v>
      </c>
      <c r="M8" s="1">
        <f>'Sprint 1 - Planification'!AJ18</f>
        <v>8</v>
      </c>
      <c r="N8" s="1">
        <f>'Sprint 1 - Planification'!AJ19</f>
        <v>4</v>
      </c>
      <c r="O8" s="1">
        <f>SUM(L8:N8)</f>
        <v>16</v>
      </c>
      <c r="P8" s="1"/>
      <c r="Q8" s="1"/>
      <c r="R8" s="1"/>
      <c r="S8" s="1"/>
    </row>
    <row r="9" spans="2:25" s="2" customFormat="1" ht="12.75" x14ac:dyDescent="0.25">
      <c r="B9" s="86" t="s">
        <v>42</v>
      </c>
      <c r="C9" s="92" t="str">
        <f t="shared" ref="C9:F10" si="0">DAY(L9)*24+HOUR(L9)&amp;"h"&amp;TEXT(MINUTE(L9),"00")</f>
        <v>12h30</v>
      </c>
      <c r="D9" s="93" t="str">
        <f t="shared" si="0"/>
        <v>43h45</v>
      </c>
      <c r="E9" s="94" t="str">
        <f t="shared" si="0"/>
        <v>9h30</v>
      </c>
      <c r="F9" s="96" t="str">
        <f t="shared" si="0"/>
        <v>65h45</v>
      </c>
      <c r="G9" s="1"/>
      <c r="H9" s="1"/>
      <c r="L9" s="1">
        <f>'Sprint 1 - Planification'!AD17</f>
        <v>0.5208333333333337</v>
      </c>
      <c r="M9" s="1">
        <f>'Sprint 1 - Planification'!AD18</f>
        <v>1.8229166666666843</v>
      </c>
      <c r="N9" s="1">
        <f>'Sprint 1 - Planification'!AD19</f>
        <v>0.39583333333333359</v>
      </c>
      <c r="O9" s="1">
        <f>SUM(L9:N9)</f>
        <v>2.7395833333333512</v>
      </c>
      <c r="P9" s="1" t="s">
        <v>43</v>
      </c>
      <c r="Q9" s="1">
        <f t="shared" ref="Q9:S10" si="1">DAY(L9)*24+HOUR(L9)+MINUTE(L9)/60</f>
        <v>12.5</v>
      </c>
      <c r="R9" s="1">
        <f t="shared" si="1"/>
        <v>43.75</v>
      </c>
      <c r="S9" s="1">
        <f t="shared" si="1"/>
        <v>9.5</v>
      </c>
      <c r="U9" s="2" t="s">
        <v>44</v>
      </c>
      <c r="V9" s="2">
        <f>COUNTIF('Sprint 1 - Planification'!E8:E42,"Essentielle")</f>
        <v>16</v>
      </c>
      <c r="X9" s="2" t="s">
        <v>45</v>
      </c>
      <c r="Y9" s="2">
        <f>COUNTIF('Sprint 1 - Planification'!F8:F42,1)</f>
        <v>7</v>
      </c>
    </row>
    <row r="10" spans="2:25" s="2" customFormat="1" ht="12.75" x14ac:dyDescent="0.25">
      <c r="B10" s="85" t="s">
        <v>46</v>
      </c>
      <c r="C10" s="89" t="str">
        <f t="shared" si="0"/>
        <v>6h45</v>
      </c>
      <c r="D10" s="90" t="str">
        <f t="shared" si="0"/>
        <v>0h00</v>
      </c>
      <c r="E10" s="91" t="str">
        <f t="shared" si="0"/>
        <v>0h00</v>
      </c>
      <c r="F10" s="95" t="str">
        <f t="shared" si="0"/>
        <v>6h45</v>
      </c>
      <c r="G10" s="1"/>
      <c r="H10" s="1"/>
      <c r="L10" s="1">
        <f>'Sprint 1 - Bilan'!T8</f>
        <v>0.28125000000000028</v>
      </c>
      <c r="M10" s="1">
        <f>'Sprint 2 - Bilan'!V9</f>
        <v>0</v>
      </c>
      <c r="N10" s="1">
        <f>'Sprint 3 - Bilan'!V9</f>
        <v>0</v>
      </c>
      <c r="O10" s="1">
        <f>SUM(L10:N10)</f>
        <v>0.28125000000000028</v>
      </c>
      <c r="P10" s="1" t="s">
        <v>47</v>
      </c>
      <c r="Q10" s="1">
        <f t="shared" si="1"/>
        <v>6.75</v>
      </c>
      <c r="R10" s="1">
        <f t="shared" si="1"/>
        <v>0</v>
      </c>
      <c r="S10" s="1">
        <f t="shared" si="1"/>
        <v>0</v>
      </c>
      <c r="U10" s="2" t="s">
        <v>48</v>
      </c>
      <c r="V10" s="2">
        <f>COUNTIF('Sprint 1 - Planification'!E8:E42,"Optionnelle")</f>
        <v>0</v>
      </c>
      <c r="X10" s="2" t="s">
        <v>49</v>
      </c>
      <c r="Y10" s="2">
        <f>COUNTIF('Sprint 1 - Planification'!F8:F42,2)</f>
        <v>6</v>
      </c>
    </row>
    <row r="11" spans="2:25" s="2" customFormat="1" ht="13.5" thickBot="1" x14ac:dyDescent="0.3">
      <c r="B11" s="97" t="s">
        <v>50</v>
      </c>
      <c r="C11" s="98">
        <f>L11</f>
        <v>0</v>
      </c>
      <c r="D11" s="99">
        <f>M11</f>
        <v>8</v>
      </c>
      <c r="E11" s="100">
        <f>N11</f>
        <v>12</v>
      </c>
      <c r="F11" s="101">
        <f>O11</f>
        <v>12</v>
      </c>
      <c r="G11" s="1"/>
      <c r="H11" s="1"/>
      <c r="L11" s="1">
        <f>'Sprint 1 - Bilan'!T15</f>
        <v>0</v>
      </c>
      <c r="M11" s="1">
        <f>'Sprint 2 - Bilan'!V16</f>
        <v>8</v>
      </c>
      <c r="N11" s="1">
        <f>'Sprint 3 - Bilan'!V16</f>
        <v>12</v>
      </c>
      <c r="O11" s="1">
        <f>N11</f>
        <v>12</v>
      </c>
      <c r="P11" s="1"/>
      <c r="Q11" s="1"/>
      <c r="R11" s="1"/>
      <c r="S11" s="1"/>
      <c r="X11" s="2" t="s">
        <v>51</v>
      </c>
      <c r="Y11" s="2">
        <f>COUNTIF('Sprint 1 - Planification'!F8:F42,3)</f>
        <v>3</v>
      </c>
    </row>
    <row r="12" spans="2:25" s="2" customFormat="1" ht="12.75" x14ac:dyDescent="0.25">
      <c r="B12" s="78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78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78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78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7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7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zoomScale="130" zoomScaleNormal="130" workbookViewId="0">
      <selection activeCell="AQ41" sqref="AQ41"/>
    </sheetView>
  </sheetViews>
  <sheetFormatPr defaultColWidth="11.42578125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8" t="s">
        <v>52</v>
      </c>
      <c r="C2" s="138"/>
      <c r="D2" s="138"/>
      <c r="E2" s="138"/>
      <c r="F2" s="138"/>
      <c r="G2" s="138"/>
      <c r="H2" s="138"/>
    </row>
    <row r="3" spans="2:8" ht="15" customHeight="1" x14ac:dyDescent="0.25">
      <c r="B3" s="25" t="s">
        <v>53</v>
      </c>
      <c r="C3" s="26"/>
      <c r="D3" s="75"/>
      <c r="E3" s="80"/>
      <c r="F3" s="80"/>
      <c r="G3" s="80"/>
      <c r="H3" s="80"/>
    </row>
    <row r="4" spans="2:8" ht="22.5" customHeight="1" x14ac:dyDescent="0.25">
      <c r="B4" s="5"/>
      <c r="C4" s="6"/>
      <c r="D4" s="76"/>
      <c r="E4" s="5"/>
      <c r="F4" s="5"/>
      <c r="G4" s="5"/>
      <c r="H4" s="5"/>
    </row>
    <row r="5" spans="2:8" ht="22.5" customHeight="1" thickBot="1" x14ac:dyDescent="0.25">
      <c r="B5" s="28" t="s">
        <v>2</v>
      </c>
      <c r="C5" s="29"/>
      <c r="D5" s="77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79" t="s">
        <v>54</v>
      </c>
      <c r="D7" s="78"/>
      <c r="E7" s="1"/>
      <c r="F7" s="1"/>
      <c r="G7" s="1"/>
      <c r="H7" s="1"/>
    </row>
    <row r="8" spans="2:8" s="2" customFormat="1" ht="12.75" x14ac:dyDescent="0.25">
      <c r="B8" s="78"/>
      <c r="D8" s="78" t="s">
        <v>55</v>
      </c>
      <c r="E8" s="1"/>
      <c r="F8" s="1"/>
      <c r="G8" s="1"/>
      <c r="H8" s="1"/>
    </row>
    <row r="9" spans="2:8" s="2" customFormat="1" ht="12.75" x14ac:dyDescent="0.25">
      <c r="B9" s="1"/>
      <c r="D9" s="78" t="s">
        <v>56</v>
      </c>
      <c r="E9" s="1"/>
      <c r="F9" s="1"/>
      <c r="G9" s="1"/>
      <c r="H9" s="1"/>
    </row>
    <row r="10" spans="2:8" s="2" customFormat="1" ht="7.5" customHeight="1" x14ac:dyDescent="0.25">
      <c r="B10" s="1"/>
      <c r="D10" s="78"/>
      <c r="E10" s="1"/>
      <c r="F10" s="1"/>
      <c r="G10" s="1"/>
      <c r="H10" s="1"/>
    </row>
    <row r="11" spans="2:8" s="2" customFormat="1" ht="12.75" x14ac:dyDescent="0.25">
      <c r="B11" s="1"/>
      <c r="C11" s="79" t="s">
        <v>57</v>
      </c>
      <c r="D11" s="78"/>
      <c r="E11" s="1"/>
      <c r="F11" s="1"/>
      <c r="G11" s="1"/>
      <c r="H11" s="1"/>
    </row>
    <row r="12" spans="2:8" s="2" customFormat="1" ht="12.75" x14ac:dyDescent="0.25">
      <c r="B12" s="1"/>
      <c r="D12" s="78" t="s">
        <v>58</v>
      </c>
      <c r="E12" s="1"/>
      <c r="F12" s="1"/>
      <c r="G12" s="1"/>
      <c r="H12" s="1"/>
    </row>
    <row r="13" spans="2:8" s="2" customFormat="1" ht="12.75" x14ac:dyDescent="0.25">
      <c r="B13" s="1"/>
      <c r="D13" s="78" t="s">
        <v>59</v>
      </c>
      <c r="E13" s="1"/>
      <c r="F13" s="1"/>
      <c r="G13" s="1"/>
      <c r="H13" s="1"/>
    </row>
    <row r="14" spans="2:8" s="2" customFormat="1" ht="12.75" x14ac:dyDescent="0.25">
      <c r="B14" s="1"/>
      <c r="D14" s="78" t="s">
        <v>60</v>
      </c>
      <c r="E14" s="1"/>
      <c r="F14" s="1"/>
      <c r="G14" s="1"/>
      <c r="H14" s="1"/>
    </row>
    <row r="15" spans="2:8" s="2" customFormat="1" ht="12.75" x14ac:dyDescent="0.25">
      <c r="B15" s="1"/>
      <c r="D15" s="78" t="s">
        <v>61</v>
      </c>
      <c r="E15" s="1"/>
      <c r="F15" s="1"/>
      <c r="G15" s="1"/>
      <c r="H15" s="1"/>
    </row>
    <row r="16" spans="2:8" s="2" customFormat="1" ht="12.75" x14ac:dyDescent="0.25">
      <c r="B16" s="1"/>
      <c r="D16" s="78" t="s">
        <v>62</v>
      </c>
      <c r="E16" s="1"/>
      <c r="F16" s="1"/>
      <c r="G16" s="1"/>
      <c r="H16" s="1"/>
    </row>
    <row r="17" spans="2:8" s="2" customFormat="1" ht="12.75" x14ac:dyDescent="0.25">
      <c r="B17" s="1"/>
      <c r="D17" s="78" t="s">
        <v>63</v>
      </c>
      <c r="E17" s="1"/>
      <c r="F17" s="1"/>
      <c r="G17" s="1"/>
      <c r="H17" s="1"/>
    </row>
    <row r="18" spans="2:8" s="2" customFormat="1" ht="12.75" x14ac:dyDescent="0.25">
      <c r="B18" s="1"/>
      <c r="D18" s="78" t="s">
        <v>64</v>
      </c>
      <c r="E18" s="1"/>
      <c r="F18" s="1"/>
      <c r="G18" s="1"/>
      <c r="H18" s="1"/>
    </row>
    <row r="20" spans="2:8" ht="22.5" customHeight="1" thickBot="1" x14ac:dyDescent="0.25">
      <c r="B20" s="28" t="s">
        <v>65</v>
      </c>
      <c r="C20" s="29"/>
      <c r="D20" s="77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79" t="s">
        <v>66</v>
      </c>
      <c r="D22" s="78"/>
      <c r="E22" s="1"/>
      <c r="F22" s="1"/>
      <c r="G22" s="1"/>
      <c r="H22" s="1"/>
    </row>
    <row r="23" spans="2:8" s="2" customFormat="1" ht="12.75" x14ac:dyDescent="0.25">
      <c r="B23" s="78"/>
      <c r="D23" s="78" t="s">
        <v>67</v>
      </c>
      <c r="E23" s="1"/>
      <c r="F23" s="1"/>
      <c r="G23" s="1"/>
      <c r="H23" s="1"/>
    </row>
    <row r="24" spans="2:8" s="2" customFormat="1" ht="12.75" x14ac:dyDescent="0.25">
      <c r="B24" s="1"/>
      <c r="D24" s="78" t="s">
        <v>68</v>
      </c>
      <c r="E24" s="1"/>
      <c r="F24" s="1"/>
      <c r="G24" s="1"/>
      <c r="H24" s="1"/>
    </row>
    <row r="25" spans="2:8" s="2" customFormat="1" ht="12.75" x14ac:dyDescent="0.25">
      <c r="B25" s="1"/>
      <c r="D25" s="78" t="s">
        <v>69</v>
      </c>
      <c r="E25" s="1"/>
      <c r="F25" s="1"/>
      <c r="G25" s="1"/>
      <c r="H25" s="1"/>
    </row>
    <row r="26" spans="2:8" s="2" customFormat="1" ht="7.5" customHeight="1" x14ac:dyDescent="0.25">
      <c r="B26" s="1"/>
      <c r="D26" s="78"/>
      <c r="E26" s="1"/>
      <c r="F26" s="1"/>
      <c r="G26" s="1"/>
      <c r="H26" s="1"/>
    </row>
    <row r="28" spans="2:8" ht="22.5" customHeight="1" thickBot="1" x14ac:dyDescent="0.25">
      <c r="B28" s="28" t="s">
        <v>70</v>
      </c>
      <c r="C28" s="29"/>
      <c r="D28" s="77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79" t="s">
        <v>71</v>
      </c>
      <c r="D30" s="78"/>
      <c r="E30" s="1"/>
      <c r="F30" s="1"/>
      <c r="G30" s="1"/>
      <c r="H30" s="1"/>
    </row>
    <row r="31" spans="2:8" s="2" customFormat="1" ht="7.5" customHeight="1" x14ac:dyDescent="0.25">
      <c r="B31" s="1"/>
      <c r="D31" s="78"/>
      <c r="E31" s="1"/>
      <c r="F31" s="1"/>
      <c r="G31" s="1"/>
      <c r="H31" s="1"/>
    </row>
    <row r="33" spans="2:8" ht="22.5" customHeight="1" thickBot="1" x14ac:dyDescent="0.25">
      <c r="B33" s="28" t="s">
        <v>72</v>
      </c>
      <c r="C33" s="29"/>
      <c r="D33" s="77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9" t="s">
        <v>73</v>
      </c>
      <c r="D35" s="139"/>
      <c r="E35" s="139"/>
      <c r="F35" s="139"/>
      <c r="G35" s="139"/>
      <c r="H35" s="1"/>
    </row>
    <row r="36" spans="2:8" s="2" customFormat="1" ht="7.5" customHeight="1" x14ac:dyDescent="0.25">
      <c r="B36" s="1"/>
      <c r="D36" s="78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2C6454CE4AC42BDCAC344ECDB29E7" ma:contentTypeVersion="5" ma:contentTypeDescription="Crée un document." ma:contentTypeScope="" ma:versionID="041f2529e877cf445b142ab8b85103c0">
  <xsd:schema xmlns:xsd="http://www.w3.org/2001/XMLSchema" xmlns:xs="http://www.w3.org/2001/XMLSchema" xmlns:p="http://schemas.microsoft.com/office/2006/metadata/properties" xmlns:ns2="78692225-e198-47c3-adde-2ea492f0b3f0" xmlns:ns3="9fb5ff05-ea2d-4c6e-ac8e-f51bc8309790" targetNamespace="http://schemas.microsoft.com/office/2006/metadata/properties" ma:root="true" ma:fieldsID="d896ed1249059892348595dbe15b813f" ns2:_="" ns3:_="">
    <xsd:import namespace="78692225-e198-47c3-adde-2ea492f0b3f0"/>
    <xsd:import namespace="9fb5ff05-ea2d-4c6e-ac8e-f51bc83097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92225-e198-47c3-adde-2ea492f0b3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5ff05-ea2d-4c6e-ac8e-f51bc8309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DD170F-C51C-4776-BE86-DE36135609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429BCA9-91E9-4F0E-9921-9689A9C72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92225-e198-47c3-adde-2ea492f0b3f0"/>
    <ds:schemaRef ds:uri="9fb5ff05-ea2d-4c6e-ac8e-f51bc8309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325D0D-63D9-490D-8587-E384C7BFA0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jcdemers</dc:creator>
  <cp:keywords/>
  <dc:description/>
  <cp:lastModifiedBy>psycho</cp:lastModifiedBy>
  <cp:revision/>
  <dcterms:created xsi:type="dcterms:W3CDTF">2014-08-28T21:52:02Z</dcterms:created>
  <dcterms:modified xsi:type="dcterms:W3CDTF">2021-03-06T14:53:42Z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0x0101008F62C6454CE4AC42BDCAC344ECDB29E7</vt:lpwstr>
  </property>
</Properties>
</file>